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INDICE" sheetId="1" r:id="rId1"/>
    <sheet name="Cuenta de Resultados" sheetId="2" r:id="rId2"/>
    <sheet name="Cuenta de Resultados Proforma" sheetId="3" r:id="rId3"/>
    <sheet name="Balance" sheetId="4" r:id="rId4"/>
    <sheet name="España" sheetId="5" r:id="rId5"/>
    <sheet name="EEUU" sheetId="6" r:id="rId6"/>
    <sheet name="Mexico" sheetId="7" r:id="rId7"/>
    <sheet name="Turquia" sheetId="8" r:id="rId8"/>
    <sheet name="AdS" sheetId="9" r:id="rId9"/>
    <sheet name="Argentina" sheetId="10" r:id="rId10"/>
    <sheet name="Chile" sheetId="11" r:id="rId11"/>
    <sheet name="Colombia" sheetId="12" r:id="rId12"/>
    <sheet name="Peru" sheetId="13" r:id="rId13"/>
    <sheet name="Resto de Eurasia" sheetId="14" r:id="rId14"/>
    <sheet name="Centro Corporativo" sheetId="15" r:id="rId15"/>
    <sheet name="Corporate &amp; Investment Banking" sheetId="16" r:id="rId16"/>
    <sheet name="Eficiencia" sheetId="17" r:id="rId17"/>
    <sheet name="Mora,cobertura,coste de riesgo" sheetId="18" r:id="rId18"/>
    <sheet name="Empleados, oficinas y cajeros" sheetId="19" r:id="rId19"/>
    <sheet name="Tipos de Cambio" sheetId="20" r:id="rId20"/>
    <sheet name="Diferenciales" sheetId="21" r:id="rId21"/>
    <sheet name="APRs" sheetId="22" r:id="rId22"/>
    <sheet name="Inversion" sheetId="23" r:id="rId23"/>
    <sheet name="Recursos" sheetId="24" r:id="rId24"/>
    <sheet name="Nombres" sheetId="25" state="hidden" r:id="rId25"/>
    <sheet name="Hoja1" sheetId="26" state="hidden" r:id="rId26"/>
    <sheet name="Hoja2" sheetId="27" state="hidden" r:id="rId27"/>
    <sheet name="Hoja3" sheetId="28" state="hidden" r:id="rId28"/>
    <sheet name="ALCO" sheetId="29" r:id="rId29"/>
  </sheets>
  <definedNames/>
  <calcPr fullCalcOnLoad="1"/>
</workbook>
</file>

<file path=xl/sharedStrings.xml><?xml version="1.0" encoding="utf-8"?>
<sst xmlns="http://schemas.openxmlformats.org/spreadsheetml/2006/main" count="865" uniqueCount="411">
  <si>
    <t>IDIOMA/LANGUAGE</t>
  </si>
  <si>
    <t>1er Trim.</t>
  </si>
  <si>
    <t>2º Trim.</t>
  </si>
  <si>
    <t>3er Trim.</t>
  </si>
  <si>
    <t>4º Trim.</t>
  </si>
  <si>
    <t>Resultado Atribuido</t>
  </si>
  <si>
    <t>Total</t>
  </si>
  <si>
    <t>C&amp;IB</t>
  </si>
  <si>
    <t>Argentina</t>
  </si>
  <si>
    <t>Chile</t>
  </si>
  <si>
    <t>Colombia</t>
  </si>
  <si>
    <t>Perú</t>
  </si>
  <si>
    <t>Otros</t>
  </si>
  <si>
    <t>Orden</t>
  </si>
  <si>
    <t>Castellano</t>
  </si>
  <si>
    <t>Inglés</t>
  </si>
  <si>
    <t>Series trimestrales 2018-2019</t>
  </si>
  <si>
    <t>Quarterly series 2018-2019</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</si>
  <si>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</si>
  <si>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</si>
  <si>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</si>
  <si>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</si>
  <si>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</si>
  <si>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</si>
  <si>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</si>
  <si>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</si>
  <si>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</si>
  <si>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</si>
  <si>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</si>
  <si>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</si>
  <si>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</si>
  <si>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</si>
  <si>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</si>
  <si>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</si>
  <si>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</si>
  <si>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</si>
  <si>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</si>
  <si>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</si>
  <si>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</si>
  <si>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</si>
  <si>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</si>
  <si>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</si>
  <si>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</si>
  <si>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</si>
  <si>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</si>
  <si>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</si>
  <si>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</si>
  <si>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</si>
  <si>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</si>
  <si>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</si>
  <si>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</si>
  <si>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</si>
  <si>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</si>
  <si>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</si>
  <si>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</si>
  <si>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</si>
  <si>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</si>
  <si>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</si>
  <si>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</si>
  <si>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</si>
  <si>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</si>
  <si>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</si>
  <si>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</si>
  <si>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</si>
  <si>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</si>
  <si>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</si>
  <si>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</si>
  <si>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</si>
  <si>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</si>
  <si>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</si>
  <si>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</si>
  <si>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</si>
  <si>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</si>
  <si>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</si>
  <si>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</si>
  <si>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</si>
  <si>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</si>
  <si>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</si>
  <si>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</si>
  <si>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</si>
  <si>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</si>
  <si>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</si>
  <si>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</si>
  <si>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</si>
  <si>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</si>
  <si>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</si>
  <si>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</si>
  <si>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</si>
  <si>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</si>
  <si>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</si>
  <si>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</si>
  <si>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</si>
  <si>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</si>
  <si>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</si>
  <si>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</si>
  <si>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</si>
  <si>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</si>
  <si>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</si>
  <si>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</si>
  <si>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</si>
  <si>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</si>
  <si>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</si>
  <si>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</si>
  <si>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</si>
  <si>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</si>
  <si>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</si>
  <si>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</si>
  <si>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</si>
  <si>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</si>
  <si>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</si>
  <si>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</si>
  <si>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</si>
  <si>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</si>
  <si>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</si>
  <si>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</si>
  <si>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</si>
  <si>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</si>
  <si>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</si>
  <si>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</si>
  <si>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</si>
  <si>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</si>
  <si>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</si>
  <si>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</si>
  <si>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</si>
  <si>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</si>
  <si>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</si>
  <si>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</si>
  <si>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</si>
  <si>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</si>
  <si>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</si>
  <si>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</si>
  <si>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</si>
  <si>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</si>
  <si>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</si>
  <si>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</si>
  <si>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</si>
  <si>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</si>
  <si>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</si>
  <si>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</si>
  <si>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</si>
  <si>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</si>
  <si>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</si>
  <si>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</si>
  <si>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</si>
  <si>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</si>
  <si>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</si>
  <si>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</si>
  <si>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</si>
  <si>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</si>
  <si>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</si>
  <si>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</si>
  <si>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</si>
  <si>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</si>
  <si>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</si>
  <si>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</si>
  <si>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</si>
  <si>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</si>
  <si>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</si>
  <si>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</si>
  <si>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</si>
  <si>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</si>
  <si>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</si>
  <si>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</si>
  <si>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</si>
  <si>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</si>
  <si>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</si>
  <si>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</si>
  <si>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</si>
  <si>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</si>
  <si>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</si>
  <si>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</si>
  <si>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</si>
  <si>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</si>
  <si>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</si>
  <si>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</si>
  <si>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</si>
  <si>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</si>
  <si>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Coste de riesgo</t>
  </si>
  <si>
    <t>Cost of risk</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</si>
  <si>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</si>
  <si>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</si>
  <si>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</si>
  <si>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</si>
  <si>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</si>
  <si>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</si>
  <si>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</si>
  <si>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</si>
  <si>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</si>
  <si>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</si>
  <si>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</si>
  <si>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</si>
  <si>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</si>
  <si>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</si>
  <si>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</si>
  <si>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</si>
  <si>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</si>
  <si>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de operaciones corporativas (*)</t>
  </si>
  <si>
    <t>Result from corporate operations (*)</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</si>
  <si>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</si>
  <si>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</si>
  <si>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</si>
  <si>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</si>
  <si>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</si>
  <si>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</si>
  <si>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</si>
  <si>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</si>
  <si>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</si>
  <si>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</si>
  <si>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</si>
  <si>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</si>
  <si>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</si>
  <si>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</si>
  <si>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</si>
  <si>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</si>
  <si>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</si>
  <si>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</si>
  <si>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</si>
  <si>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</si>
  <si>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</si>
  <si>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</si>
  <si>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</si>
  <si>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</si>
  <si>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</si>
  <si>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</si>
  <si>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</si>
  <si>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</si>
  <si>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</si>
  <si>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</si>
  <si>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</si>
  <si>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</si>
  <si>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</si>
  <si>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</si>
  <si>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</si>
  <si>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</si>
  <si>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</si>
  <si>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</si>
  <si>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</si>
  <si>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</si>
  <si>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</si>
  <si>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</si>
  <si>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</si>
  <si>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</si>
  <si>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</si>
  <si>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</si>
  <si>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</si>
  <si>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</si>
  <si>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</si>
  <si>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</si>
  <si>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</si>
  <si>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</si>
  <si>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</si>
  <si>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</si>
  <si>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</si>
  <si>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</si>
  <si>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</si>
  <si>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</si>
  <si>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</si>
  <si>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</si>
  <si>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</si>
  <si>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</si>
  <si>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</si>
  <si>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</si>
  <si>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</si>
  <si>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</si>
  <si>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</si>
  <si>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</si>
  <si>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</si>
  <si>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</si>
  <si>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</si>
  <si>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</si>
  <si>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</si>
  <si>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</si>
  <si>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</si>
  <si>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</si>
  <si>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</si>
  <si>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</si>
  <si>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</si>
  <si>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</si>
  <si>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</si>
  <si>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</si>
  <si>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</si>
  <si>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</si>
  <si>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</si>
  <si>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</si>
  <si>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</si>
  <si>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</si>
  <si>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</si>
  <si>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</si>
  <si>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</si>
  <si>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</si>
  <si>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</si>
  <si>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</si>
  <si>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</si>
  <si>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</si>
  <si>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</si>
  <si>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</si>
  <si>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</si>
  <si>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</si>
  <si>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</si>
  <si>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</si>
  <si>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</si>
  <si>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</si>
  <si>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</si>
  <si>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</si>
  <si>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</si>
  <si>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</si>
  <si>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</si>
  <si>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</si>
  <si>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</si>
  <si>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</si>
  <si>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</si>
  <si>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 xml:space="preserve"> Inversión Rentable</t>
  </si>
  <si>
    <t xml:space="preserve"> Recursos Clientes</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</si>
  <si>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</si>
  <si>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</si>
  <si>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</si>
  <si>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</si>
  <si>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</si>
  <si>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</si>
  <si>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</si>
  <si>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</si>
  <si>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</si>
  <si>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</si>
  <si>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</si>
  <si>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</si>
  <si>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</si>
  <si>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</si>
  <si>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</si>
  <si>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</si>
  <si>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</si>
  <si>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</si>
  <si>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</si>
  <si>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</si>
  <si>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</si>
  <si>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</si>
  <si>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</si>
  <si>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</si>
  <si>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</si>
  <si>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</si>
  <si>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</si>
  <si>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</si>
  <si>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</si>
  <si>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</si>
  <si>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</si>
  <si>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</si>
  <si>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</si>
  <si>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</si>
  <si>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</si>
  <si>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</si>
  <si>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</si>
  <si>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</si>
  <si>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</si>
  <si>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</si>
  <si>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</si>
  <si>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</si>
  <si>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</si>
  <si>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</si>
  <si>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</si>
  <si>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</si>
  <si>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</si>
  <si>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</si>
  <si>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 xml:space="preserve">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</si>
  <si>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</si>
  <si>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</si>
  <si>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</si>
  <si>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</si>
  <si>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</si>
  <si>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</si>
  <si>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</si>
  <si>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</si>
  <si>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</si>
  <si>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</si>
  <si>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</si>
  <si>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</si>
  <si>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</si>
  <si>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</si>
  <si>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</si>
  <si>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</si>
  <si>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</si>
  <si>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</si>
  <si>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</si>
  <si>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</si>
  <si>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</si>
  <si>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</si>
  <si>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</si>
  <si>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</si>
  <si>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</si>
  <si>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</si>
  <si>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</si>
  <si>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</si>
  <si>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</si>
  <si>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</si>
  <si>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</si>
  <si>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</si>
  <si>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</si>
  <si>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</si>
  <si>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</si>
  <si>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</si>
  <si>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</si>
  <si>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</si>
  <si>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</si>
  <si>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</si>
  <si>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</si>
  <si>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</si>
  <si>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</si>
  <si>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</si>
  <si>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</si>
  <si>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0</t>
  </si>
  <si>
    <t>(*) Se incluyen los resultados de los dos primeros trimestres del 2018 de BBVA Chile y las plusvalías por su venta del tercer trimestre del 2018.</t>
  </si>
  <si>
    <t>Yield on Loans</t>
  </si>
  <si>
    <t>Cost of Deposits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</si>
</sst>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s>
  <fonts count="113">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5"/>
      <color indexed="30"/>
      <name val="Calibri"/>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8"/>
      <color indexed="56"/>
      <name val="Calibri"/>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8"/>
      <color theme="1"/>
      <name val="Calibri"/>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8" fillId="0" borderId="8" applyNumberFormat="0" applyFill="0" applyAlignment="0" applyProtection="0"/>
    <xf numFmtId="0" fontId="89" fillId="0" borderId="9" applyNumberFormat="0" applyFill="0" applyAlignment="0" applyProtection="0"/>
  </cellStyleXfs>
  <cellXfs count="299">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0"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1"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2"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2"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3" fillId="33" borderId="0" xfId="0" applyFont="1" applyFill="1" applyBorder="1" applyAlignment="1">
      <alignment horizontal="left" vertical="center"/>
    </xf>
    <xf numFmtId="0" fontId="94" fillId="33" borderId="0" xfId="0" applyFont="1" applyFill="1" applyBorder="1" applyAlignment="1">
      <alignment/>
    </xf>
    <xf numFmtId="0" fontId="95"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6" fillId="0" borderId="0" xfId="0" applyFont="1" applyFill="1" applyBorder="1" applyAlignment="1">
      <alignment horizontal="right" vertical="center"/>
    </xf>
    <xf numFmtId="0" fontId="96"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97" fillId="34" borderId="0" xfId="0" applyNumberFormat="1" applyFont="1" applyFill="1" applyBorder="1" applyAlignment="1">
      <alignment vertical="center"/>
    </xf>
    <xf numFmtId="3" fontId="97" fillId="0" borderId="0" xfId="0" applyNumberFormat="1" applyFont="1" applyFill="1" applyBorder="1" applyAlignment="1">
      <alignment vertical="center"/>
    </xf>
    <xf numFmtId="3" fontId="17" fillId="0" borderId="0" xfId="0" applyNumberFormat="1" applyFont="1" applyFill="1" applyBorder="1" applyAlignment="1">
      <alignment vertical="top"/>
    </xf>
    <xf numFmtId="0" fontId="98" fillId="0" borderId="0" xfId="0" applyFont="1" applyFill="1" applyAlignment="1">
      <alignment vertical="top"/>
    </xf>
    <xf numFmtId="3" fontId="72" fillId="0" borderId="0" xfId="0" applyNumberFormat="1" applyFont="1" applyFill="1" applyAlignment="1">
      <alignment/>
    </xf>
    <xf numFmtId="3" fontId="16" fillId="0" borderId="0" xfId="0" applyNumberFormat="1" applyFont="1" applyFill="1" applyBorder="1" applyAlignment="1">
      <alignment horizontal="right" vertical="center"/>
    </xf>
    <xf numFmtId="3" fontId="97" fillId="34" borderId="0" xfId="0" applyNumberFormat="1" applyFont="1" applyFill="1" applyBorder="1" applyAlignment="1">
      <alignment horizontal="right" vertical="center"/>
    </xf>
    <xf numFmtId="0" fontId="16" fillId="0" borderId="0" xfId="0" applyFont="1" applyFill="1" applyBorder="1" applyAlignment="1">
      <alignment/>
    </xf>
    <xf numFmtId="164" fontId="96"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8" fillId="0" borderId="0" xfId="0" applyNumberFormat="1" applyFont="1" applyFill="1" applyBorder="1" applyAlignment="1">
      <alignment/>
    </xf>
    <xf numFmtId="3" fontId="16" fillId="0" borderId="0" xfId="0" applyNumberFormat="1" applyFont="1" applyFill="1" applyBorder="1" applyAlignment="1">
      <alignment/>
    </xf>
    <xf numFmtId="3" fontId="99" fillId="0" borderId="0" xfId="0" applyNumberFormat="1" applyFont="1" applyFill="1" applyBorder="1" applyAlignment="1">
      <alignment/>
    </xf>
    <xf numFmtId="3" fontId="17" fillId="0" borderId="0" xfId="0" applyNumberFormat="1" applyFont="1" applyFill="1" applyBorder="1" applyAlignment="1">
      <alignment vertical="center"/>
    </xf>
    <xf numFmtId="3" fontId="100" fillId="0" borderId="0" xfId="0" applyNumberFormat="1" applyFont="1" applyFill="1" applyBorder="1" applyAlignment="1">
      <alignment vertical="center" wrapText="1"/>
    </xf>
    <xf numFmtId="3" fontId="100"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3" fillId="0" borderId="0" xfId="0" applyFont="1" applyFill="1" applyBorder="1" applyAlignment="1">
      <alignment horizontal="left" vertical="center"/>
    </xf>
    <xf numFmtId="0" fontId="94" fillId="0" borderId="0" xfId="0" applyFont="1" applyFill="1" applyBorder="1" applyAlignment="1">
      <alignment/>
    </xf>
    <xf numFmtId="164" fontId="96" fillId="0" borderId="10" xfId="0" applyNumberFormat="1" applyFont="1" applyFill="1" applyBorder="1" applyAlignment="1">
      <alignment horizontal="right" vertical="center"/>
    </xf>
    <xf numFmtId="0" fontId="94" fillId="33" borderId="0" xfId="0" applyFont="1" applyFill="1" applyBorder="1" applyAlignment="1">
      <alignment horizontal="right"/>
    </xf>
    <xf numFmtId="0" fontId="15" fillId="0" borderId="0" xfId="0" applyFont="1" applyFill="1" applyBorder="1" applyAlignment="1">
      <alignment horizontal="right"/>
    </xf>
    <xf numFmtId="3" fontId="97" fillId="34" borderId="10" xfId="0" applyNumberFormat="1" applyFont="1" applyFill="1" applyBorder="1" applyAlignment="1">
      <alignment vertical="center"/>
    </xf>
    <xf numFmtId="0" fontId="94" fillId="0" borderId="0" xfId="0" applyFont="1" applyFill="1" applyBorder="1" applyAlignment="1">
      <alignment horizontal="right"/>
    </xf>
    <xf numFmtId="0" fontId="17" fillId="0" borderId="0" xfId="0" applyNumberFormat="1" applyFont="1" applyFill="1" applyBorder="1" applyAlignment="1">
      <alignment vertical="center"/>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6" fillId="0" borderId="0" xfId="0" applyNumberFormat="1" applyFont="1" applyFill="1" applyBorder="1" applyAlignment="1">
      <alignment vertical="center"/>
    </xf>
    <xf numFmtId="3" fontId="15" fillId="0" borderId="0" xfId="0" applyNumberFormat="1" applyFont="1" applyFill="1" applyBorder="1" applyAlignment="1">
      <alignment/>
    </xf>
    <xf numFmtId="0" fontId="94" fillId="0" borderId="0" xfId="0" applyFont="1" applyFill="1" applyBorder="1" applyAlignment="1">
      <alignment/>
    </xf>
    <xf numFmtId="0" fontId="15" fillId="0" borderId="0" xfId="0" applyFont="1" applyFill="1" applyBorder="1" applyAlignment="1">
      <alignment/>
    </xf>
    <xf numFmtId="3" fontId="97" fillId="34" borderId="10" xfId="0" applyNumberFormat="1" applyFont="1" applyFill="1" applyBorder="1" applyAlignment="1">
      <alignment horizontal="right" vertical="center"/>
    </xf>
    <xf numFmtId="0" fontId="94" fillId="33" borderId="0" xfId="0" applyFont="1" applyFill="1" applyBorder="1" applyAlignment="1">
      <alignment/>
    </xf>
    <xf numFmtId="0" fontId="0" fillId="0" borderId="0" xfId="0" applyFill="1" applyAlignment="1">
      <alignment horizontal="right"/>
    </xf>
    <xf numFmtId="3" fontId="17" fillId="0" borderId="0" xfId="0" applyNumberFormat="1" applyFont="1" applyFill="1" applyBorder="1" applyAlignment="1">
      <alignment vertical="center" wrapText="1"/>
    </xf>
    <xf numFmtId="0" fontId="14" fillId="0" borderId="0" xfId="0" applyFont="1" applyFill="1" applyBorder="1" applyAlignment="1" quotePrefix="1">
      <alignment horizontal="left" vertical="center"/>
    </xf>
    <xf numFmtId="0" fontId="95" fillId="0" borderId="0" xfId="0" applyFont="1" applyFill="1" applyBorder="1" applyAlignment="1" quotePrefix="1">
      <alignment horizontal="left" vertical="center"/>
    </xf>
    <xf numFmtId="0" fontId="96" fillId="0" borderId="0" xfId="0" applyFont="1" applyFill="1" applyBorder="1" applyAlignment="1" quotePrefix="1">
      <alignment horizontal="right" vertical="center"/>
    </xf>
    <xf numFmtId="0" fontId="96"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97"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3" fillId="33" borderId="0" xfId="0" applyFont="1" applyFill="1" applyBorder="1" applyAlignment="1" quotePrefix="1">
      <alignment horizontal="left" vertical="center"/>
    </xf>
    <xf numFmtId="0" fontId="0" fillId="0" borderId="0" xfId="0" applyFill="1" applyBorder="1" applyAlignment="1">
      <alignment horizontal="right"/>
    </xf>
    <xf numFmtId="0" fontId="93" fillId="33" borderId="0" xfId="0" applyFont="1" applyFill="1" applyAlignment="1">
      <alignment horizontal="left" vertical="center"/>
    </xf>
    <xf numFmtId="0" fontId="94" fillId="33" borderId="0" xfId="59" applyFont="1" applyFill="1">
      <alignment/>
      <protection/>
    </xf>
    <xf numFmtId="0" fontId="20" fillId="0" borderId="0" xfId="59" applyFont="1">
      <alignment/>
      <protection/>
    </xf>
    <xf numFmtId="0" fontId="95"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6"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1"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2" fillId="33" borderId="0" xfId="60" applyFont="1" applyFill="1" applyAlignment="1">
      <alignment horizontal="left" vertical="center"/>
      <protection/>
    </xf>
    <xf numFmtId="0" fontId="6" fillId="0" borderId="0" xfId="59" applyFont="1">
      <alignment/>
      <protection/>
    </xf>
    <xf numFmtId="164" fontId="96"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4" fillId="33" borderId="0" xfId="59" applyFont="1" applyFill="1" applyBorder="1">
      <alignment/>
      <protection/>
    </xf>
    <xf numFmtId="167" fontId="94"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4" fillId="33" borderId="0" xfId="0" applyNumberFormat="1" applyFont="1" applyFill="1" applyBorder="1" applyAlignment="1">
      <alignment/>
    </xf>
    <xf numFmtId="0" fontId="94"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99"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5"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3" fillId="0" borderId="0" xfId="59" applyFont="1" applyFill="1">
      <alignment/>
      <protection/>
    </xf>
    <xf numFmtId="3" fontId="103" fillId="0" borderId="0" xfId="0" applyNumberFormat="1" applyFont="1" applyFill="1" applyAlignment="1">
      <alignment/>
    </xf>
    <xf numFmtId="164" fontId="96" fillId="0" borderId="0" xfId="0" applyNumberFormat="1" applyFont="1" applyFill="1" applyBorder="1" applyAlignment="1">
      <alignment horizontal="center" vertical="center"/>
    </xf>
    <xf numFmtId="1" fontId="96" fillId="0" borderId="0" xfId="0" applyNumberFormat="1" applyFont="1" applyFill="1" applyBorder="1" applyAlignment="1">
      <alignment vertical="center"/>
    </xf>
    <xf numFmtId="164" fontId="96" fillId="0" borderId="11" xfId="0" applyNumberFormat="1" applyFont="1" applyFill="1" applyBorder="1" applyAlignment="1">
      <alignment horizontal="center" vertical="center"/>
    </xf>
    <xf numFmtId="0" fontId="103" fillId="0" borderId="11" xfId="59" applyFont="1" applyFill="1" applyBorder="1">
      <alignment/>
      <protection/>
    </xf>
    <xf numFmtId="3" fontId="103" fillId="0" borderId="11" xfId="0" applyNumberFormat="1" applyFont="1" applyFill="1" applyBorder="1" applyAlignment="1">
      <alignment/>
    </xf>
    <xf numFmtId="164" fontId="96"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4" fillId="33" borderId="0" xfId="60" applyFont="1" applyFill="1" applyBorder="1" applyAlignment="1">
      <alignment horizontal="left" vertical="center"/>
      <protection/>
    </xf>
    <xf numFmtId="0" fontId="6" fillId="0" borderId="0" xfId="54">
      <alignment/>
      <protection/>
    </xf>
    <xf numFmtId="0" fontId="95"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6"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6" fillId="0" borderId="11" xfId="0" applyNumberFormat="1" applyFont="1" applyFill="1" applyBorder="1" applyAlignment="1">
      <alignment horizontal="right" vertical="center"/>
    </xf>
    <xf numFmtId="0" fontId="105" fillId="0" borderId="0" xfId="0" applyFont="1" applyAlignment="1">
      <alignment horizontal="center"/>
    </xf>
    <xf numFmtId="3" fontId="16" fillId="0" borderId="0" xfId="0" applyNumberFormat="1" applyFont="1" applyFill="1" applyBorder="1" applyAlignment="1">
      <alignment horizontal="right"/>
    </xf>
    <xf numFmtId="170" fontId="105"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166" fontId="99" fillId="0" borderId="0" xfId="0" applyNumberFormat="1" applyFont="1" applyFill="1" applyBorder="1" applyAlignment="1">
      <alignment/>
    </xf>
    <xf numFmtId="0" fontId="6" fillId="0" borderId="0" xfId="0" applyFont="1" applyFill="1" applyAlignment="1">
      <alignment/>
    </xf>
    <xf numFmtId="0" fontId="93" fillId="33" borderId="0" xfId="57" applyFont="1" applyFill="1" applyAlignment="1">
      <alignment horizontal="left" vertical="center"/>
      <protection/>
    </xf>
    <xf numFmtId="0" fontId="106"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5" fillId="36" borderId="0" xfId="0" applyFont="1" applyFill="1" applyBorder="1" applyAlignment="1">
      <alignment horizontal="left" vertical="center"/>
    </xf>
    <xf numFmtId="0" fontId="95"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7"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08"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09" fillId="0" borderId="0" xfId="0" applyFont="1" applyAlignment="1">
      <alignment/>
    </xf>
    <xf numFmtId="0" fontId="110" fillId="0" borderId="0" xfId="61" applyFont="1" applyFill="1" applyBorder="1" applyAlignment="1" applyProtection="1">
      <alignment horizontal="left"/>
      <protection hidden="1" locked="0"/>
    </xf>
    <xf numFmtId="0" fontId="110"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1" fillId="0" borderId="11" xfId="0" applyFont="1" applyFill="1" applyBorder="1" applyAlignment="1">
      <alignment vertical="center"/>
    </xf>
    <xf numFmtId="164" fontId="96" fillId="0" borderId="0" xfId="0" applyNumberFormat="1" applyFont="1" applyFill="1" applyBorder="1" applyAlignment="1">
      <alignment horizontal="left" vertical="center"/>
    </xf>
    <xf numFmtId="0" fontId="92" fillId="37" borderId="0" xfId="0" applyFont="1" applyFill="1" applyAlignment="1">
      <alignment/>
    </xf>
    <xf numFmtId="166" fontId="72" fillId="0" borderId="0" xfId="0" applyNumberFormat="1"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3"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4" fillId="33" borderId="0" xfId="54" applyFont="1" applyFill="1" applyBorder="1">
      <alignment/>
      <protection/>
    </xf>
    <xf numFmtId="3" fontId="17" fillId="0" borderId="0" xfId="54" applyNumberFormat="1" applyFont="1" applyFill="1" applyBorder="1" applyAlignment="1">
      <alignment vertical="center"/>
      <protection/>
    </xf>
    <xf numFmtId="0" fontId="0" fillId="0" borderId="0" xfId="57" applyFont="1" applyAlignment="1">
      <alignment horizontal="right"/>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3"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99" fillId="0" borderId="0" xfId="57" applyNumberFormat="1" applyFont="1" applyFill="1" applyBorder="1" applyAlignment="1">
      <alignment horizontal="right"/>
      <protection/>
    </xf>
    <xf numFmtId="0" fontId="96" fillId="0" borderId="0" xfId="0" applyFont="1" applyFill="1" applyBorder="1" applyAlignment="1">
      <alignment horizontal="center" wrapText="1"/>
    </xf>
    <xf numFmtId="0" fontId="96" fillId="0" borderId="13" xfId="0" applyFont="1" applyFill="1" applyBorder="1" applyAlignment="1">
      <alignment horizontal="center" wrapText="1"/>
    </xf>
    <xf numFmtId="0" fontId="29" fillId="0" borderId="0" xfId="0" applyFont="1" applyFill="1" applyAlignment="1">
      <alignment/>
    </xf>
    <xf numFmtId="2" fontId="0" fillId="0" borderId="0" xfId="0" applyNumberFormat="1" applyFill="1" applyAlignment="1">
      <alignment/>
    </xf>
    <xf numFmtId="10" fontId="0" fillId="0" borderId="0" xfId="64" applyNumberFormat="1" applyFont="1" applyAlignment="1">
      <alignment/>
    </xf>
    <xf numFmtId="3" fontId="0" fillId="0" borderId="0" xfId="57" applyNumberFormat="1">
      <alignment/>
      <protection/>
    </xf>
    <xf numFmtId="0" fontId="0" fillId="0" borderId="0" xfId="57" applyFont="1" applyAlignment="1">
      <alignment horizontal="right"/>
      <protection/>
    </xf>
    <xf numFmtId="167"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vertical="top" wrapText="1"/>
    </xf>
    <xf numFmtId="3" fontId="17" fillId="0" borderId="0" xfId="0" applyNumberFormat="1" applyFont="1" applyFill="1" applyBorder="1" applyAlignment="1">
      <alignment horizontal="left" vertical="top" wrapText="1"/>
    </xf>
    <xf numFmtId="0" fontId="96" fillId="0" borderId="0" xfId="0" applyFont="1" applyFill="1" applyBorder="1" applyAlignment="1">
      <alignment horizontal="center" wrapText="1"/>
    </xf>
    <xf numFmtId="0" fontId="96" fillId="0" borderId="10" xfId="0" applyFont="1" applyFill="1" applyBorder="1" applyAlignment="1">
      <alignment horizontal="center" wrapText="1"/>
    </xf>
    <xf numFmtId="0" fontId="96" fillId="0" borderId="13" xfId="0" applyFont="1" applyFill="1" applyBorder="1" applyAlignment="1">
      <alignment horizontal="center"/>
    </xf>
    <xf numFmtId="0" fontId="96" fillId="0" borderId="0" xfId="0" applyFont="1" applyFill="1" applyBorder="1" applyAlignment="1">
      <alignment horizontal="center"/>
    </xf>
    <xf numFmtId="0" fontId="96" fillId="0" borderId="13" xfId="0" applyFont="1" applyFill="1" applyBorder="1" applyAlignment="1">
      <alignment horizontal="center" wrapText="1"/>
    </xf>
    <xf numFmtId="0" fontId="111" fillId="0" borderId="11" xfId="0" applyFont="1" applyFill="1" applyBorder="1" applyAlignment="1">
      <alignment horizontal="center" vertical="center"/>
    </xf>
    <xf numFmtId="0" fontId="96" fillId="0" borderId="0" xfId="54" applyFont="1" applyFill="1" applyBorder="1" applyAlignment="1">
      <alignment horizontal="center" wrapText="1"/>
      <protection/>
    </xf>
    <xf numFmtId="0" fontId="112" fillId="0" borderId="0" xfId="54" applyFont="1" applyFill="1" applyBorder="1" applyAlignment="1">
      <alignment horizontal="center"/>
      <protection/>
    </xf>
    <xf numFmtId="0" fontId="96" fillId="0" borderId="0" xfId="0" applyFont="1" applyFill="1" applyBorder="1" applyAlignment="1">
      <alignment horizontal="center" vertical="center"/>
    </xf>
    <xf numFmtId="0" fontId="96" fillId="0" borderId="0" xfId="57" applyFont="1" applyFill="1" applyAlignment="1">
      <alignment horizontal="center" vertical="center" wrapText="1"/>
      <protection/>
    </xf>
    <xf numFmtId="0" fontId="96"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9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4" /></Relationships>
</file>

<file path=xl/drawings/_rels/drawing11.xml.rels><?xml version="1.0" encoding="utf-8" standalone="yes"?><Relationships xmlns="http://schemas.openxmlformats.org/package/2006/relationships"><Relationship Id="rId1" Type="http://schemas.openxmlformats.org/officeDocument/2006/relationships/hyperlink" Target="#INDICE!C15" /></Relationships>
</file>

<file path=xl/drawings/_rels/drawing12.xml.rels><?xml version="1.0" encoding="utf-8" standalone="yes"?><Relationships xmlns="http://schemas.openxmlformats.org/package/2006/relationships"><Relationship Id="rId1" Type="http://schemas.openxmlformats.org/officeDocument/2006/relationships/hyperlink" Target="#INDICE!C16" /></Relationships>
</file>

<file path=xl/drawings/_rels/drawing13.xml.rels><?xml version="1.0" encoding="utf-8" standalone="yes"?><Relationships xmlns="http://schemas.openxmlformats.org/package/2006/relationships"><Relationship Id="rId1" Type="http://schemas.openxmlformats.org/officeDocument/2006/relationships/hyperlink" Target="#INDICE!C17" /></Relationships>
</file>

<file path=xl/drawings/_rels/drawing14.xml.rels><?xml version="1.0" encoding="utf-8" standalone="yes"?><Relationships xmlns="http://schemas.openxmlformats.org/package/2006/relationships"><Relationship Id="rId1" Type="http://schemas.openxmlformats.org/officeDocument/2006/relationships/hyperlink" Target="#INDICE!C18" /></Relationships>
</file>

<file path=xl/drawings/_rels/drawing15.xml.rels><?xml version="1.0" encoding="utf-8" standalone="yes"?><Relationships xmlns="http://schemas.openxmlformats.org/package/2006/relationships"><Relationship Id="rId1" Type="http://schemas.openxmlformats.org/officeDocument/2006/relationships/hyperlink" Target="#INDICE!C19" /></Relationships>
</file>

<file path=xl/drawings/_rels/drawing16.xml.rels><?xml version="1.0" encoding="utf-8" standalone="yes"?><Relationships xmlns="http://schemas.openxmlformats.org/package/2006/relationships"><Relationship Id="rId1" Type="http://schemas.openxmlformats.org/officeDocument/2006/relationships/hyperlink" Target="#INDICE!C22" /></Relationships>
</file>

<file path=xl/drawings/_rels/drawing17.xml.rels><?xml version="1.0" encoding="utf-8" standalone="yes"?><Relationships xmlns="http://schemas.openxmlformats.org/package/2006/relationships"><Relationship Id="rId1" Type="http://schemas.openxmlformats.org/officeDocument/2006/relationships/hyperlink" Target="#INDICE!C24"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6"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7" /><Relationship Id="rId2" Type="http://schemas.openxmlformats.org/officeDocument/2006/relationships/hyperlink" Target="#INDICE!C27" /></Relationships>
</file>

<file path=xl/drawings/_rels/drawing21.xml.rels><?xml version="1.0" encoding="utf-8" standalone="yes"?><Relationships xmlns="http://schemas.openxmlformats.org/package/2006/relationships"><Relationship Id="rId1" Type="http://schemas.openxmlformats.org/officeDocument/2006/relationships/hyperlink" Target="#INDICE!C28" /></Relationships>
</file>

<file path=xl/drawings/_rels/drawing22.xml.rels><?xml version="1.0" encoding="utf-8" standalone="yes"?><Relationships xmlns="http://schemas.openxmlformats.org/package/2006/relationships"><Relationship Id="rId1" Type="http://schemas.openxmlformats.org/officeDocument/2006/relationships/hyperlink" Target="#INDICE!C29" /></Relationships>
</file>

<file path=xl/drawings/_rels/drawing23.xml.rels><?xml version="1.0" encoding="utf-8" standalone="yes"?><Relationships xmlns="http://schemas.openxmlformats.org/package/2006/relationships"><Relationship Id="rId1" Type="http://schemas.openxmlformats.org/officeDocument/2006/relationships/hyperlink" Target="#INDICE!C30" /></Relationships>
</file>

<file path=xl/drawings/_rels/drawing24.xml.rels><?xml version="1.0" encoding="utf-8" standalone="yes"?><Relationships xmlns="http://schemas.openxmlformats.org/package/2006/relationships"><Relationship Id="rId1" Type="http://schemas.openxmlformats.org/officeDocument/2006/relationships/hyperlink" Target="#INDICE!C31" /></Relationships>
</file>

<file path=xl/drawings/_rels/drawing25.xml.rels><?xml version="1.0" encoding="utf-8" standalone="yes"?><Relationships xmlns="http://schemas.openxmlformats.org/package/2006/relationships"><Relationship Id="rId1" Type="http://schemas.openxmlformats.org/officeDocument/2006/relationships/hyperlink" Target="#INDICE!C32" /></Relationships>
</file>

<file path=xl/drawings/_rels/drawing3.xml.rels><?xml version="1.0" encoding="utf-8" standalone="yes"?><Relationships xmlns="http://schemas.openxmlformats.org/package/2006/relationships"><Relationship Id="rId1" Type="http://schemas.openxmlformats.org/officeDocument/2006/relationships/hyperlink" Target="#INDICE!C6" /></Relationships>
</file>

<file path=xl/drawings/_rels/drawing4.xml.rels><?xml version="1.0" encoding="utf-8" standalone="yes"?><Relationships xmlns="http://schemas.openxmlformats.org/package/2006/relationships"><Relationship Id="rId1" Type="http://schemas.openxmlformats.org/officeDocument/2006/relationships/hyperlink" Target="#INDICE!C7" /></Relationships>
</file>

<file path=xl/drawings/_rels/drawing5.xml.rels><?xml version="1.0" encoding="utf-8" standalone="yes"?><Relationships xmlns="http://schemas.openxmlformats.org/package/2006/relationships"><Relationship Id="rId1" Type="http://schemas.openxmlformats.org/officeDocument/2006/relationships/hyperlink" Target="#INDICE!C9" /></Relationships>
</file>

<file path=xl/drawings/_rels/drawing6.xml.rels><?xml version="1.0" encoding="utf-8" standalone="yes"?><Relationships xmlns="http://schemas.openxmlformats.org/package/2006/relationships"><Relationship Id="rId1" Type="http://schemas.openxmlformats.org/officeDocument/2006/relationships/hyperlink" Target="#INDICE!C10" /></Relationships>
</file>

<file path=xl/drawings/_rels/drawing7.xml.rels><?xml version="1.0" encoding="utf-8" standalone="yes"?><Relationships xmlns="http://schemas.openxmlformats.org/package/2006/relationships"><Relationship Id="rId1" Type="http://schemas.openxmlformats.org/officeDocument/2006/relationships/hyperlink" Target="#INDICE!C11" /></Relationships>
</file>

<file path=xl/drawings/_rels/drawing8.xml.rels><?xml version="1.0" encoding="utf-8" standalone="yes"?><Relationships xmlns="http://schemas.openxmlformats.org/package/2006/relationships"><Relationship Id="rId1" Type="http://schemas.openxmlformats.org/officeDocument/2006/relationships/hyperlink" Target="#INDICE!C12" /></Relationships>
</file>

<file path=xl/drawings/_rels/drawing9.xml.rels><?xml version="1.0" encoding="utf-8" standalone="yes"?><Relationships xmlns="http://schemas.openxmlformats.org/package/2006/relationships"><Relationship Id="rId1" Type="http://schemas.openxmlformats.org/officeDocument/2006/relationships/hyperlink" Target="#INDICE!C1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0</xdr:col>
      <xdr:colOff>314325</xdr:colOff>
      <xdr:row>6</xdr:row>
      <xdr:rowOff>266700</xdr:rowOff>
    </xdr:to>
    <xdr:sp fLocksText="0">
      <xdr:nvSpPr>
        <xdr:cNvPr id="1" name="7 CuadroTexto"/>
        <xdr:cNvSpPr txBox="1">
          <a:spLocks noChangeArrowheads="1"/>
        </xdr:cNvSpPr>
      </xdr:nvSpPr>
      <xdr:spPr>
        <a:xfrm>
          <a:off x="9525" y="1514475"/>
          <a:ext cx="304800" cy="4667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390525</xdr:colOff>
      <xdr:row>3</xdr:row>
      <xdr:rowOff>266700</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2</xdr:row>
      <xdr:rowOff>200025</xdr:rowOff>
    </xdr:from>
    <xdr:to>
      <xdr:col>9</xdr:col>
      <xdr:colOff>561975</xdr:colOff>
      <xdr:row>7</xdr:row>
      <xdr:rowOff>28575</xdr:rowOff>
    </xdr:to>
    <xdr:sp>
      <xdr:nvSpPr>
        <xdr:cNvPr id="1" name="2 Rectángulo redondeado">
          <a:hlinkClick r:id="rId1"/>
        </xdr:cNvPr>
        <xdr:cNvSpPr>
          <a:spLocks/>
        </xdr:cNvSpPr>
      </xdr:nvSpPr>
      <xdr:spPr>
        <a:xfrm>
          <a:off x="9582150" y="6762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47625</xdr:rowOff>
    </xdr:from>
    <xdr:to>
      <xdr:col>9</xdr:col>
      <xdr:colOff>752475</xdr:colOff>
      <xdr:row>7</xdr:row>
      <xdr:rowOff>104775</xdr:rowOff>
    </xdr:to>
    <xdr:sp>
      <xdr:nvSpPr>
        <xdr:cNvPr id="1" name="2 Rectángulo redondeado">
          <a:hlinkClick r:id="rId1"/>
        </xdr:cNvPr>
        <xdr:cNvSpPr>
          <a:spLocks/>
        </xdr:cNvSpPr>
      </xdr:nvSpPr>
      <xdr:spPr>
        <a:xfrm>
          <a:off x="9972675" y="7524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2</xdr:row>
      <xdr:rowOff>200025</xdr:rowOff>
    </xdr:from>
    <xdr:to>
      <xdr:col>9</xdr:col>
      <xdr:colOff>590550</xdr:colOff>
      <xdr:row>7</xdr:row>
      <xdr:rowOff>28575</xdr:rowOff>
    </xdr:to>
    <xdr:sp>
      <xdr:nvSpPr>
        <xdr:cNvPr id="1" name="2 Rectángulo redondeado">
          <a:hlinkClick r:id="rId1"/>
        </xdr:cNvPr>
        <xdr:cNvSpPr>
          <a:spLocks/>
        </xdr:cNvSpPr>
      </xdr:nvSpPr>
      <xdr:spPr>
        <a:xfrm>
          <a:off x="9610725" y="6762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2</xdr:row>
      <xdr:rowOff>219075</xdr:rowOff>
    </xdr:from>
    <xdr:to>
      <xdr:col>9</xdr:col>
      <xdr:colOff>742950</xdr:colOff>
      <xdr:row>7</xdr:row>
      <xdr:rowOff>47625</xdr:rowOff>
    </xdr:to>
    <xdr:sp>
      <xdr:nvSpPr>
        <xdr:cNvPr id="1" name="2 Rectángulo redondeado">
          <a:hlinkClick r:id="rId1"/>
        </xdr:cNvPr>
        <xdr:cNvSpPr>
          <a:spLocks/>
        </xdr:cNvSpPr>
      </xdr:nvSpPr>
      <xdr:spPr>
        <a:xfrm>
          <a:off x="9763125" y="6953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xdr:row>
      <xdr:rowOff>0</xdr:rowOff>
    </xdr:from>
    <xdr:to>
      <xdr:col>10</xdr:col>
      <xdr:colOff>57150</xdr:colOff>
      <xdr:row>7</xdr:row>
      <xdr:rowOff>57150</xdr:rowOff>
    </xdr:to>
    <xdr:sp>
      <xdr:nvSpPr>
        <xdr:cNvPr id="1" name="2 Rectángulo redondeado">
          <a:hlinkClick r:id="rId1"/>
        </xdr:cNvPr>
        <xdr:cNvSpPr>
          <a:spLocks/>
        </xdr:cNvSpPr>
      </xdr:nvSpPr>
      <xdr:spPr>
        <a:xfrm>
          <a:off x="9839325" y="7048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3</xdr:row>
      <xdr:rowOff>47625</xdr:rowOff>
    </xdr:from>
    <xdr:to>
      <xdr:col>9</xdr:col>
      <xdr:colOff>657225</xdr:colOff>
      <xdr:row>7</xdr:row>
      <xdr:rowOff>104775</xdr:rowOff>
    </xdr:to>
    <xdr:sp>
      <xdr:nvSpPr>
        <xdr:cNvPr id="1" name="2 Rectángulo redondeado">
          <a:hlinkClick r:id="rId1"/>
        </xdr:cNvPr>
        <xdr:cNvSpPr>
          <a:spLocks/>
        </xdr:cNvSpPr>
      </xdr:nvSpPr>
      <xdr:spPr>
        <a:xfrm>
          <a:off x="9677400" y="7524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3</xdr:row>
      <xdr:rowOff>9525</xdr:rowOff>
    </xdr:from>
    <xdr:to>
      <xdr:col>9</xdr:col>
      <xdr:colOff>647700</xdr:colOff>
      <xdr:row>7</xdr:row>
      <xdr:rowOff>66675</xdr:rowOff>
    </xdr:to>
    <xdr:sp>
      <xdr:nvSpPr>
        <xdr:cNvPr id="1" name="2 Rectángulo redondeado">
          <a:hlinkClick r:id="rId1"/>
        </xdr:cNvPr>
        <xdr:cNvSpPr>
          <a:spLocks/>
        </xdr:cNvSpPr>
      </xdr:nvSpPr>
      <xdr:spPr>
        <a:xfrm>
          <a:off x="9667875" y="7143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0</xdr:row>
      <xdr:rowOff>200025</xdr:rowOff>
    </xdr:from>
    <xdr:to>
      <xdr:col>9</xdr:col>
      <xdr:colOff>781050</xdr:colOff>
      <xdr:row>4</xdr:row>
      <xdr:rowOff>104775</xdr:rowOff>
    </xdr:to>
    <xdr:sp>
      <xdr:nvSpPr>
        <xdr:cNvPr id="1" name="2 Rectángulo redondeado">
          <a:hlinkClick r:id="rId1"/>
        </xdr:cNvPr>
        <xdr:cNvSpPr>
          <a:spLocks/>
        </xdr:cNvSpPr>
      </xdr:nvSpPr>
      <xdr:spPr>
        <a:xfrm>
          <a:off x="7981950" y="200025"/>
          <a:ext cx="1019175" cy="7143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1</xdr:row>
      <xdr:rowOff>38100</xdr:rowOff>
    </xdr:from>
    <xdr:to>
      <xdr:col>10</xdr:col>
      <xdr:colOff>304800</xdr:colOff>
      <xdr:row>5</xdr:row>
      <xdr:rowOff>9525</xdr:rowOff>
    </xdr:to>
    <xdr:sp>
      <xdr:nvSpPr>
        <xdr:cNvPr id="1" name="2 Rectángulo redondeado">
          <a:hlinkClick r:id="rId1"/>
        </xdr:cNvPr>
        <xdr:cNvSpPr>
          <a:spLocks/>
        </xdr:cNvSpPr>
      </xdr:nvSpPr>
      <xdr:spPr>
        <a:xfrm>
          <a:off x="8562975" y="285750"/>
          <a:ext cx="1133475" cy="7429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1</xdr:row>
      <xdr:rowOff>304800</xdr:rowOff>
    </xdr:from>
    <xdr:to>
      <xdr:col>9</xdr:col>
      <xdr:colOff>628650</xdr:colOff>
      <xdr:row>4</xdr:row>
      <xdr:rowOff>152400</xdr:rowOff>
    </xdr:to>
    <xdr:sp>
      <xdr:nvSpPr>
        <xdr:cNvPr id="1" name="2 Rectángulo redondeado">
          <a:hlinkClick r:id="rId1"/>
        </xdr:cNvPr>
        <xdr:cNvSpPr>
          <a:spLocks/>
        </xdr:cNvSpPr>
      </xdr:nvSpPr>
      <xdr:spPr>
        <a:xfrm>
          <a:off x="7353300" y="533400"/>
          <a:ext cx="962025" cy="6572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xdr:row>
      <xdr:rowOff>66675</xdr:rowOff>
    </xdr:from>
    <xdr:to>
      <xdr:col>9</xdr:col>
      <xdr:colOff>619125</xdr:colOff>
      <xdr:row>5</xdr:row>
      <xdr:rowOff>47625</xdr:rowOff>
    </xdr:to>
    <xdr:sp>
      <xdr:nvSpPr>
        <xdr:cNvPr id="1" name="2 Rectángulo redondeado">
          <a:hlinkClick r:id="rId1"/>
        </xdr:cNvPr>
        <xdr:cNvSpPr>
          <a:spLocks/>
        </xdr:cNvSpPr>
      </xdr:nvSpPr>
      <xdr:spPr>
        <a:xfrm>
          <a:off x="9591675" y="295275"/>
          <a:ext cx="122872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2</xdr:row>
      <xdr:rowOff>190500</xdr:rowOff>
    </xdr:from>
    <xdr:to>
      <xdr:col>9</xdr:col>
      <xdr:colOff>704850</xdr:colOff>
      <xdr:row>5</xdr:row>
      <xdr:rowOff>19050</xdr:rowOff>
    </xdr:to>
    <xdr:sp>
      <xdr:nvSpPr>
        <xdr:cNvPr id="1" name="1 Rectángulo redondeado">
          <a:hlinkClick r:id="rId1"/>
        </xdr:cNvPr>
        <xdr:cNvSpPr>
          <a:spLocks/>
        </xdr:cNvSpPr>
      </xdr:nvSpPr>
      <xdr:spPr>
        <a:xfrm>
          <a:off x="9315450" y="609600"/>
          <a:ext cx="88582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twoCellAnchor>
    <xdr:from>
      <xdr:col>8</xdr:col>
      <xdr:colOff>581025</xdr:colOff>
      <xdr:row>2</xdr:row>
      <xdr:rowOff>190500</xdr:rowOff>
    </xdr:from>
    <xdr:to>
      <xdr:col>9</xdr:col>
      <xdr:colOff>704850</xdr:colOff>
      <xdr:row>5</xdr:row>
      <xdr:rowOff>19050</xdr:rowOff>
    </xdr:to>
    <xdr:sp>
      <xdr:nvSpPr>
        <xdr:cNvPr id="2" name="2 Rectángulo redondeado">
          <a:hlinkClick r:id="rId2"/>
        </xdr:cNvPr>
        <xdr:cNvSpPr>
          <a:spLocks/>
        </xdr:cNvSpPr>
      </xdr:nvSpPr>
      <xdr:spPr>
        <a:xfrm>
          <a:off x="9315450" y="609600"/>
          <a:ext cx="88582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xdr:row>
      <xdr:rowOff>133350</xdr:rowOff>
    </xdr:from>
    <xdr:to>
      <xdr:col>9</xdr:col>
      <xdr:colOff>552450</xdr:colOff>
      <xdr:row>5</xdr:row>
      <xdr:rowOff>85725</xdr:rowOff>
    </xdr:to>
    <xdr:sp>
      <xdr:nvSpPr>
        <xdr:cNvPr id="1" name="2 Rectángulo redondeado">
          <a:hlinkClick r:id="rId1"/>
        </xdr:cNvPr>
        <xdr:cNvSpPr>
          <a:spLocks/>
        </xdr:cNvSpPr>
      </xdr:nvSpPr>
      <xdr:spPr>
        <a:xfrm>
          <a:off x="7448550" y="628650"/>
          <a:ext cx="914400"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2</xdr:row>
      <xdr:rowOff>38100</xdr:rowOff>
    </xdr:from>
    <xdr:to>
      <xdr:col>9</xdr:col>
      <xdr:colOff>438150</xdr:colOff>
      <xdr:row>5</xdr:row>
      <xdr:rowOff>66675</xdr:rowOff>
    </xdr:to>
    <xdr:sp>
      <xdr:nvSpPr>
        <xdr:cNvPr id="1" name="2 Rectángulo redondeado">
          <a:hlinkClick r:id="rId1"/>
        </xdr:cNvPr>
        <xdr:cNvSpPr>
          <a:spLocks/>
        </xdr:cNvSpPr>
      </xdr:nvSpPr>
      <xdr:spPr>
        <a:xfrm>
          <a:off x="9172575" y="457200"/>
          <a:ext cx="962025" cy="6191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xdr:row>
      <xdr:rowOff>171450</xdr:rowOff>
    </xdr:from>
    <xdr:to>
      <xdr:col>10</xdr:col>
      <xdr:colOff>381000</xdr:colOff>
      <xdr:row>4</xdr:row>
      <xdr:rowOff>104775</xdr:rowOff>
    </xdr:to>
    <xdr:sp>
      <xdr:nvSpPr>
        <xdr:cNvPr id="1" name="2 Rectángulo redondeado">
          <a:hlinkClick r:id="rId1"/>
        </xdr:cNvPr>
        <xdr:cNvSpPr>
          <a:spLocks/>
        </xdr:cNvSpPr>
      </xdr:nvSpPr>
      <xdr:spPr>
        <a:xfrm>
          <a:off x="8839200" y="400050"/>
          <a:ext cx="942975" cy="5334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1</xdr:row>
      <xdr:rowOff>104775</xdr:rowOff>
    </xdr:from>
    <xdr:to>
      <xdr:col>10</xdr:col>
      <xdr:colOff>561975</xdr:colOff>
      <xdr:row>5</xdr:row>
      <xdr:rowOff>47625</xdr:rowOff>
    </xdr:to>
    <xdr:sp>
      <xdr:nvSpPr>
        <xdr:cNvPr id="1" name="1 Rectángulo redondeado">
          <a:hlinkClick r:id="rId1"/>
        </xdr:cNvPr>
        <xdr:cNvSpPr>
          <a:spLocks/>
        </xdr:cNvSpPr>
      </xdr:nvSpPr>
      <xdr:spPr>
        <a:xfrm>
          <a:off x="8210550" y="333375"/>
          <a:ext cx="885825"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xdr:row>
      <xdr:rowOff>190500</xdr:rowOff>
    </xdr:from>
    <xdr:to>
      <xdr:col>9</xdr:col>
      <xdr:colOff>514350</xdr:colOff>
      <xdr:row>4</xdr:row>
      <xdr:rowOff>123825</xdr:rowOff>
    </xdr:to>
    <xdr:sp>
      <xdr:nvSpPr>
        <xdr:cNvPr id="1" name="1 Rectángulo redondeado">
          <a:hlinkClick r:id="rId1"/>
        </xdr:cNvPr>
        <xdr:cNvSpPr>
          <a:spLocks/>
        </xdr:cNvSpPr>
      </xdr:nvSpPr>
      <xdr:spPr>
        <a:xfrm>
          <a:off x="7896225" y="419100"/>
          <a:ext cx="962025" cy="5334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3</xdr:row>
      <xdr:rowOff>28575</xdr:rowOff>
    </xdr:from>
    <xdr:to>
      <xdr:col>9</xdr:col>
      <xdr:colOff>581025</xdr:colOff>
      <xdr:row>7</xdr:row>
      <xdr:rowOff>85725</xdr:rowOff>
    </xdr:to>
    <xdr:sp>
      <xdr:nvSpPr>
        <xdr:cNvPr id="1" name="2 Rectángulo redondeado">
          <a:hlinkClick r:id="rId1"/>
        </xdr:cNvPr>
        <xdr:cNvSpPr>
          <a:spLocks/>
        </xdr:cNvSpPr>
      </xdr:nvSpPr>
      <xdr:spPr>
        <a:xfrm>
          <a:off x="9534525" y="7334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2</xdr:row>
      <xdr:rowOff>171450</xdr:rowOff>
    </xdr:from>
    <xdr:to>
      <xdr:col>9</xdr:col>
      <xdr:colOff>695325</xdr:colOff>
      <xdr:row>7</xdr:row>
      <xdr:rowOff>9525</xdr:rowOff>
    </xdr:to>
    <xdr:sp>
      <xdr:nvSpPr>
        <xdr:cNvPr id="1" name="2 Rectángulo redondeado">
          <a:hlinkClick r:id="rId1"/>
        </xdr:cNvPr>
        <xdr:cNvSpPr>
          <a:spLocks/>
        </xdr:cNvSpPr>
      </xdr:nvSpPr>
      <xdr:spPr>
        <a:xfrm>
          <a:off x="11744325" y="6477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xdr:row>
      <xdr:rowOff>209550</xdr:rowOff>
    </xdr:from>
    <xdr:to>
      <xdr:col>9</xdr:col>
      <xdr:colOff>514350</xdr:colOff>
      <xdr:row>7</xdr:row>
      <xdr:rowOff>38100</xdr:rowOff>
    </xdr:to>
    <xdr:sp>
      <xdr:nvSpPr>
        <xdr:cNvPr id="1" name="2 Rectángulo redondeado">
          <a:hlinkClick r:id="rId1"/>
        </xdr:cNvPr>
        <xdr:cNvSpPr>
          <a:spLocks/>
        </xdr:cNvSpPr>
      </xdr:nvSpPr>
      <xdr:spPr>
        <a:xfrm>
          <a:off x="9534525" y="6858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3</xdr:row>
      <xdr:rowOff>57150</xdr:rowOff>
    </xdr:from>
    <xdr:to>
      <xdr:col>9</xdr:col>
      <xdr:colOff>685800</xdr:colOff>
      <xdr:row>7</xdr:row>
      <xdr:rowOff>114300</xdr:rowOff>
    </xdr:to>
    <xdr:sp>
      <xdr:nvSpPr>
        <xdr:cNvPr id="1" name="2 Rectángulo redondeado">
          <a:hlinkClick r:id="rId1"/>
        </xdr:cNvPr>
        <xdr:cNvSpPr>
          <a:spLocks/>
        </xdr:cNvSpPr>
      </xdr:nvSpPr>
      <xdr:spPr>
        <a:xfrm>
          <a:off x="9705975" y="7620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3</xdr:row>
      <xdr:rowOff>19050</xdr:rowOff>
    </xdr:from>
    <xdr:to>
      <xdr:col>9</xdr:col>
      <xdr:colOff>666750</xdr:colOff>
      <xdr:row>7</xdr:row>
      <xdr:rowOff>76200</xdr:rowOff>
    </xdr:to>
    <xdr:sp>
      <xdr:nvSpPr>
        <xdr:cNvPr id="1" name="2 Rectángulo redondeado">
          <a:hlinkClick r:id="rId1"/>
        </xdr:cNvPr>
        <xdr:cNvSpPr>
          <a:spLocks/>
        </xdr:cNvSpPr>
      </xdr:nvSpPr>
      <xdr:spPr>
        <a:xfrm>
          <a:off x="9686925" y="7239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3</xdr:row>
      <xdr:rowOff>38100</xdr:rowOff>
    </xdr:from>
    <xdr:to>
      <xdr:col>9</xdr:col>
      <xdr:colOff>581025</xdr:colOff>
      <xdr:row>7</xdr:row>
      <xdr:rowOff>95250</xdr:rowOff>
    </xdr:to>
    <xdr:sp>
      <xdr:nvSpPr>
        <xdr:cNvPr id="1" name="2 Rectángulo redondeado">
          <a:hlinkClick r:id="rId1"/>
        </xdr:cNvPr>
        <xdr:cNvSpPr>
          <a:spLocks/>
        </xdr:cNvSpPr>
      </xdr:nvSpPr>
      <xdr:spPr>
        <a:xfrm>
          <a:off x="9601200" y="7429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2</xdr:row>
      <xdr:rowOff>219075</xdr:rowOff>
    </xdr:from>
    <xdr:to>
      <xdr:col>9</xdr:col>
      <xdr:colOff>619125</xdr:colOff>
      <xdr:row>7</xdr:row>
      <xdr:rowOff>47625</xdr:rowOff>
    </xdr:to>
    <xdr:sp>
      <xdr:nvSpPr>
        <xdr:cNvPr id="1" name="2 Rectángulo redondeado">
          <a:hlinkClick r:id="rId1"/>
        </xdr:cNvPr>
        <xdr:cNvSpPr>
          <a:spLocks/>
        </xdr:cNvSpPr>
      </xdr:nvSpPr>
      <xdr:spPr>
        <a:xfrm>
          <a:off x="9639300" y="6953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IV1000"/>
  <sheetViews>
    <sheetView showGridLines="0" tabSelected="1" zoomScale="80" zoomScaleNormal="80" zoomScalePageLayoutView="0" workbookViewId="0" topLeftCell="A1">
      <selection activeCell="C32" sqref="C32"/>
    </sheetView>
  </sheetViews>
  <sheetFormatPr defaultColWidth="12.57421875" defaultRowHeight="23.25" customHeight="1"/>
  <cols>
    <col min="1" max="1" width="39.00390625" style="1" customWidth="1"/>
    <col min="2" max="2" width="9.140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2.5" customHeight="1">
      <c r="B1" s="2"/>
      <c r="C1" s="3"/>
      <c r="D1" s="2"/>
      <c r="E1" s="2"/>
    </row>
    <row r="2" spans="2:6" ht="22.5" customHeight="1">
      <c r="B2" s="2"/>
      <c r="C2" s="4" t="str">
        <f>HLOOKUP($F$2,Nombres!$C$3:$D$636,2,FALSE)</f>
        <v>Quarterly series 2018-2019</v>
      </c>
      <c r="D2" s="2"/>
      <c r="E2" s="2"/>
      <c r="F2" s="5">
        <v>8</v>
      </c>
    </row>
    <row r="3" spans="2:5" ht="22.5" customHeight="1">
      <c r="B3" s="2"/>
      <c r="C3" s="3"/>
      <c r="D3" s="2"/>
      <c r="E3" s="2"/>
    </row>
    <row r="4" spans="1:7" ht="22.5" customHeight="1">
      <c r="A4" s="6"/>
      <c r="B4" s="2"/>
      <c r="C4" s="7" t="str">
        <f>HLOOKUP($F$2,Nombres!$C$3:$D$636,3,FALSE)</f>
        <v>BBVA Group</v>
      </c>
      <c r="D4" s="8"/>
      <c r="E4" s="2" t="b">
        <v>0</v>
      </c>
      <c r="G4" s="9"/>
    </row>
    <row r="5" spans="2:7" ht="22.5" customHeight="1">
      <c r="B5" s="2"/>
      <c r="C5" s="10" t="str">
        <f>HLOOKUP($F$2,Nombres!$C$3:$D$636,4,FALSE)</f>
        <v>Consolidated income statement</v>
      </c>
      <c r="D5" s="2"/>
      <c r="E5" s="2" t="b">
        <v>0</v>
      </c>
      <c r="F5" s="1" t="b">
        <f>OR($E$4,E5)</f>
        <v>0</v>
      </c>
      <c r="G5" s="9"/>
    </row>
    <row r="6" spans="2:7" ht="22.5" customHeight="1">
      <c r="B6" s="2"/>
      <c r="C6" s="10" t="str">
        <f>HLOOKUP($F$2,Nombres!$C$3:$D$636,226,FALSE)</f>
        <v>Consolidated income statement proforma</v>
      </c>
      <c r="D6" s="2"/>
      <c r="E6" s="2" t="b">
        <v>0</v>
      </c>
      <c r="F6" s="1" t="b">
        <f>OR($E$4,E6)</f>
        <v>0</v>
      </c>
      <c r="G6" s="9"/>
    </row>
    <row r="7" spans="2:7" ht="22.5" customHeight="1">
      <c r="B7" s="2"/>
      <c r="C7" s="10" t="str">
        <f>HLOOKUP($F$2,Nombres!$C$3:$D$636,5,FALSE)</f>
        <v>Consolidated balance sheet</v>
      </c>
      <c r="D7" s="2"/>
      <c r="E7" s="2"/>
      <c r="G7" s="9"/>
    </row>
    <row r="8" spans="2:7" ht="22.5" customHeight="1">
      <c r="B8" s="11"/>
      <c r="C8" s="7" t="str">
        <f>HLOOKUP($F$2,Nombres!$C$3:$D$636,6,FALSE)</f>
        <v>Business areas</v>
      </c>
      <c r="D8" s="11"/>
      <c r="E8" s="11" t="b">
        <v>0</v>
      </c>
      <c r="F8" s="12"/>
      <c r="G8" s="13"/>
    </row>
    <row r="9" spans="2:256" ht="22.5" customHeight="1">
      <c r="B9" s="14"/>
      <c r="C9" s="249" t="str">
        <f>HLOOKUP($F$2,Nombres!$C$3:$D$636,7,FALSE)</f>
        <v>Spain</v>
      </c>
      <c r="D9" s="14"/>
      <c r="E9" s="14" t="b">
        <v>1</v>
      </c>
      <c r="F9" s="1" t="b">
        <f aca="true" t="shared" si="0" ref="F9:F19">OR($E$8,E9)</f>
        <v>1</v>
      </c>
      <c r="G9" s="15"/>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7" ht="22.5" customHeight="1">
      <c r="A10" s="17"/>
      <c r="B10" s="2"/>
      <c r="C10" s="10" t="str">
        <f>HLOOKUP($F$2,Nombres!$C$3:$D$636,10,FALSE)</f>
        <v>USA</v>
      </c>
      <c r="D10" s="2"/>
      <c r="E10" s="2" t="b">
        <v>1</v>
      </c>
      <c r="F10" s="1" t="b">
        <f t="shared" si="0"/>
        <v>1</v>
      </c>
      <c r="G10" s="9"/>
    </row>
    <row r="11" spans="2:7" ht="22.5" customHeight="1">
      <c r="B11" s="2"/>
      <c r="C11" s="10" t="str">
        <f>HLOOKUP($F$2,Nombres!$C$3:$D$636,11,FALSE)</f>
        <v>Mexico</v>
      </c>
      <c r="D11" s="2"/>
      <c r="E11" s="2" t="b">
        <v>1</v>
      </c>
      <c r="F11" s="1" t="b">
        <f t="shared" si="0"/>
        <v>1</v>
      </c>
      <c r="G11" s="9"/>
    </row>
    <row r="12" spans="1:7" ht="22.5" customHeight="1">
      <c r="A12" s="18"/>
      <c r="B12" s="2"/>
      <c r="C12" s="10" t="str">
        <f>HLOOKUP($F$2,Nombres!$C$3:$D$636,12,FALSE)</f>
        <v>Turkey </v>
      </c>
      <c r="D12" s="2"/>
      <c r="E12" s="2" t="b">
        <v>1</v>
      </c>
      <c r="F12" s="1" t="b">
        <f t="shared" si="0"/>
        <v>1</v>
      </c>
      <c r="G12" s="9"/>
    </row>
    <row r="13" spans="1:256" ht="22.5" customHeight="1">
      <c r="A13" s="18"/>
      <c r="B13" s="19"/>
      <c r="C13" s="10" t="str">
        <f>HLOOKUP($F$2,Nombres!$C$3:$D$636,13,FALSE)</f>
        <v>South America</v>
      </c>
      <c r="D13" s="2"/>
      <c r="E13" s="2" t="b">
        <v>1</v>
      </c>
      <c r="F13" s="20" t="b">
        <f>OR($E$8,E13)</f>
        <v>1</v>
      </c>
      <c r="G13" s="21"/>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2:7" ht="22.5" customHeight="1">
      <c r="B14" s="2"/>
      <c r="C14" s="10" t="str">
        <f>HLOOKUP($F$2,Nombres!$C$3:$D$636,14,FALSE)</f>
        <v>Argentina</v>
      </c>
      <c r="D14" s="2"/>
      <c r="E14" s="2" t="b">
        <v>0</v>
      </c>
      <c r="F14" s="1" t="b">
        <f t="shared" si="0"/>
        <v>0</v>
      </c>
      <c r="G14" s="9"/>
    </row>
    <row r="15" spans="2:256" ht="22.5" customHeight="1">
      <c r="B15" s="19"/>
      <c r="C15" s="10" t="str">
        <f>HLOOKUP($F$2,Nombres!$C$3:$D$636,15,FALSE)</f>
        <v>Chile</v>
      </c>
      <c r="D15" s="22"/>
      <c r="E15" s="2" t="b">
        <v>0</v>
      </c>
      <c r="F15" s="20" t="b">
        <f t="shared" si="0"/>
        <v>0</v>
      </c>
      <c r="G15" s="21"/>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2.5" customHeight="1">
      <c r="A16" s="6"/>
      <c r="B16" s="19"/>
      <c r="C16" s="10" t="str">
        <f>HLOOKUP($F$2,Nombres!$C$3:$D$636,16,FALSE)</f>
        <v>Colombia</v>
      </c>
      <c r="D16" s="22"/>
      <c r="E16" s="2" t="b">
        <v>1</v>
      </c>
      <c r="F16" s="20" t="b">
        <f t="shared" si="0"/>
        <v>1</v>
      </c>
      <c r="G16" s="21"/>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2:7" ht="22.5" customHeight="1">
      <c r="B17" s="2"/>
      <c r="C17" s="10" t="str">
        <f>HLOOKUP($F$2,Nombres!$C$3:$D$636,17,FALSE)</f>
        <v>Peru</v>
      </c>
      <c r="D17" s="22"/>
      <c r="E17" s="2" t="b">
        <v>0</v>
      </c>
      <c r="F17" s="1" t="b">
        <f t="shared" si="0"/>
        <v>0</v>
      </c>
      <c r="G17" s="9"/>
    </row>
    <row r="18" spans="2:7" ht="22.5" customHeight="1">
      <c r="B18" s="2"/>
      <c r="C18" s="10" t="str">
        <f>HLOOKUP($F$2,Nombres!$C$3:$D$636,18,FALSE)</f>
        <v>Rest of Eurasia</v>
      </c>
      <c r="D18" s="22"/>
      <c r="E18" s="2" t="b">
        <v>0</v>
      </c>
      <c r="F18" s="1" t="b">
        <f t="shared" si="0"/>
        <v>0</v>
      </c>
      <c r="G18" s="9"/>
    </row>
    <row r="19" spans="2:7" ht="22.5" customHeight="1">
      <c r="B19" s="2"/>
      <c r="C19" s="10" t="str">
        <f>HLOOKUP($F$2,Nombres!$C$3:$D$636,19,FALSE)</f>
        <v>Corporate Center </v>
      </c>
      <c r="D19" s="22"/>
      <c r="E19" s="2" t="b">
        <v>0</v>
      </c>
      <c r="F19" s="1" t="b">
        <f t="shared" si="0"/>
        <v>0</v>
      </c>
      <c r="G19" s="9"/>
    </row>
    <row r="20" spans="2:7" ht="22.5" customHeight="1">
      <c r="B20" s="2"/>
      <c r="C20" s="23"/>
      <c r="D20" s="2"/>
      <c r="E20" s="2"/>
      <c r="G20" s="9"/>
    </row>
    <row r="21" spans="1:7" ht="22.5" customHeight="1">
      <c r="A21" s="16"/>
      <c r="B21" s="2"/>
      <c r="C21" s="7" t="str">
        <f>HLOOKUP($F$2,Nombres!$C$3:$D$636,20,FALSE)</f>
        <v>Additional information:</v>
      </c>
      <c r="D21" s="2"/>
      <c r="E21" s="2"/>
      <c r="G21" s="9"/>
    </row>
    <row r="22" spans="1:7" ht="22.5" customHeight="1">
      <c r="A22" s="24"/>
      <c r="B22" s="2"/>
      <c r="C22" s="10" t="str">
        <f>HLOOKUP($F$2,Nombres!$C$3:$D$636,21,FALSE)</f>
        <v>Corporate &amp; Investment Banking</v>
      </c>
      <c r="D22" s="2"/>
      <c r="E22" s="2" t="b">
        <v>0</v>
      </c>
      <c r="F22" s="1" t="b">
        <f>OR($E$8,E22)</f>
        <v>0</v>
      </c>
      <c r="G22" s="9"/>
    </row>
    <row r="23" spans="2:7" ht="22.5" customHeight="1">
      <c r="B23" s="2"/>
      <c r="C23" s="7" t="str">
        <f>HLOOKUP($F$2,Nombres!$C$3:$D$636,22,FALSE)</f>
        <v>Annex:</v>
      </c>
      <c r="D23" s="14"/>
      <c r="E23" s="2"/>
      <c r="G23" s="9"/>
    </row>
    <row r="24" spans="2:256" ht="22.5" customHeight="1">
      <c r="B24" s="14"/>
      <c r="C24" s="25" t="str">
        <f>HLOOKUP($F$2,Nombres!$C$3:$D$636,23,FALSE)</f>
        <v>Efficiency</v>
      </c>
      <c r="D24" s="2"/>
      <c r="E24" s="14" t="b">
        <v>0</v>
      </c>
      <c r="F24" s="1" t="b">
        <f aca="true" t="shared" si="1" ref="F24:F31">OR($E$23,E24)</f>
        <v>0</v>
      </c>
      <c r="G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2:256" ht="22.5" customHeight="1">
      <c r="B25" s="26"/>
      <c r="C25" s="25" t="str">
        <f>HLOOKUP($F$2,Nombres!$C$3:$D$636,24,FALSE)</f>
        <v>NPL, coverage ratios and cost of risk</v>
      </c>
      <c r="D25" s="2"/>
      <c r="E25" s="26" t="b">
        <v>0</v>
      </c>
      <c r="F25" s="24" t="b">
        <f t="shared" si="1"/>
        <v>0</v>
      </c>
      <c r="G25" s="27"/>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row>
    <row r="26" spans="2:7" ht="22.5" customHeight="1">
      <c r="B26" s="2"/>
      <c r="C26" s="25" t="str">
        <f>HLOOKUP($F$2,Nombres!$C$3:$D$636,25,FALSE)</f>
        <v>Branches, employees and atm´s</v>
      </c>
      <c r="D26" s="2"/>
      <c r="E26" s="2" t="b">
        <v>0</v>
      </c>
      <c r="F26" s="1" t="b">
        <f t="shared" si="1"/>
        <v>0</v>
      </c>
      <c r="G26" s="9"/>
    </row>
    <row r="27" spans="2:7" ht="22.5" customHeight="1">
      <c r="B27" s="2"/>
      <c r="C27" s="25" t="str">
        <f>HLOOKUP($F$2,Nombres!$C$3:$D$636,26,FALSE)</f>
        <v>Exchange rates</v>
      </c>
      <c r="D27" s="2"/>
      <c r="E27" s="2" t="b">
        <v>0</v>
      </c>
      <c r="F27" s="1" t="b">
        <f t="shared" si="1"/>
        <v>0</v>
      </c>
      <c r="G27" s="9"/>
    </row>
    <row r="28" spans="2:6" ht="22.5" customHeight="1">
      <c r="B28" s="2"/>
      <c r="C28" s="25" t="str">
        <f>HLOOKUP($F$2,Nombres!$C$3:$D$636,27,FALSE)</f>
        <v>Customer Spreads</v>
      </c>
      <c r="D28" s="14"/>
      <c r="E28" s="2" t="b">
        <v>1</v>
      </c>
      <c r="F28" s="1" t="b">
        <f t="shared" si="1"/>
        <v>1</v>
      </c>
    </row>
    <row r="29" spans="2:6" ht="22.5" customHeight="1">
      <c r="B29" s="2"/>
      <c r="C29" s="25" t="str">
        <f>HLOOKUP($F$2,Nombres!$C$3:$D$636,28,FALSE)</f>
        <v>Risk-weighted assets. Breakdown by business areas and main countries</v>
      </c>
      <c r="D29" s="26"/>
      <c r="E29" s="2" t="b">
        <v>0</v>
      </c>
      <c r="F29" s="1" t="b">
        <f t="shared" si="1"/>
        <v>0</v>
      </c>
    </row>
    <row r="30" spans="2:6" ht="22.5" customHeight="1">
      <c r="B30" s="2"/>
      <c r="C30" s="25" t="str">
        <f>HLOOKUP($F$2,Nombres!$C$3:$D$636,29,FALSE)</f>
        <v>Breakdown of performing loans under management</v>
      </c>
      <c r="D30" s="2"/>
      <c r="E30" s="2" t="b">
        <v>0</v>
      </c>
      <c r="F30" s="1" t="b">
        <f t="shared" si="1"/>
        <v>0</v>
      </c>
    </row>
    <row r="31" spans="2:6" ht="22.5" customHeight="1">
      <c r="B31" s="2"/>
      <c r="C31" s="25" t="str">
        <f>HLOOKUP($F$2,Nombres!$C$3:$D$636,120,FALSE)</f>
        <v>Breakdown of customer funds under management</v>
      </c>
      <c r="D31" s="2"/>
      <c r="E31" s="2" t="b">
        <v>0</v>
      </c>
      <c r="F31" s="1" t="b">
        <f t="shared" si="1"/>
        <v>0</v>
      </c>
    </row>
    <row r="32" spans="2:5" ht="22.5" customHeight="1">
      <c r="B32" s="2"/>
      <c r="C32" s="25" t="str">
        <f>HLOOKUP($F$2,Nombres!$C$3:$D$636,242,FALSE)</f>
        <v>ALCO Portfolio</v>
      </c>
      <c r="D32" s="2"/>
      <c r="E32" s="2"/>
    </row>
    <row r="33" spans="2:5" ht="22.5" customHeight="1">
      <c r="B33" s="2"/>
      <c r="C33" s="3"/>
      <c r="D33" s="2"/>
      <c r="E33" s="2"/>
    </row>
    <row r="34" spans="2:8" ht="22.5" customHeight="1">
      <c r="B34" s="2"/>
      <c r="C34" s="287"/>
      <c r="D34" s="287"/>
      <c r="E34" s="287"/>
      <c r="F34" s="287"/>
      <c r="G34" s="287"/>
      <c r="H34" s="287"/>
    </row>
    <row r="35" spans="2:5" ht="22.5" customHeight="1">
      <c r="B35" s="2"/>
      <c r="C35" s="3"/>
      <c r="D35" s="2"/>
      <c r="E35" s="2"/>
    </row>
    <row r="36" spans="2:5" ht="28.5">
      <c r="B36" s="2"/>
      <c r="C36" s="3"/>
      <c r="D36" s="2"/>
      <c r="E36" s="2"/>
    </row>
    <row r="37" spans="2:5" ht="28.5">
      <c r="B37" s="2"/>
      <c r="C37" s="3"/>
      <c r="D37" s="2"/>
      <c r="E37" s="2"/>
    </row>
    <row r="38" spans="2:5" ht="28.5">
      <c r="B38" s="2"/>
      <c r="C38" s="3"/>
      <c r="D38" s="2"/>
      <c r="E38" s="2"/>
    </row>
    <row r="39" ht="28.5"/>
    <row r="40" ht="28.5"/>
    <row r="41" ht="28.5"/>
    <row r="42" ht="28.5"/>
    <row r="43" ht="28.5"/>
    <row r="44" ht="28.5"/>
    <row r="45" ht="28.5"/>
    <row r="46" ht="28.5"/>
    <row r="47" ht="28.5"/>
    <row r="48" ht="28.5"/>
    <row r="49" ht="28.5"/>
    <row r="50" ht="28.5"/>
    <row r="51" ht="28.5"/>
    <row r="52" ht="28.5"/>
    <row r="53" ht="28.5"/>
    <row r="54" ht="28.5"/>
    <row r="55" ht="28.5"/>
    <row r="56" ht="28.5"/>
    <row r="57" ht="28.5"/>
    <row r="58" ht="28.5"/>
    <row r="59" ht="28.5"/>
    <row r="60" ht="28.5"/>
    <row r="61" ht="28.5"/>
    <row r="62" ht="28.5"/>
    <row r="63" ht="28.5"/>
    <row r="64" ht="28.5"/>
    <row r="65" ht="28.5"/>
    <row r="66" ht="28.5"/>
    <row r="67" ht="28.5"/>
    <row r="68" ht="28.5"/>
    <row r="69" ht="28.5"/>
    <row r="70" ht="28.5"/>
    <row r="71" ht="28.5"/>
    <row r="72" ht="28.5"/>
    <row r="73" ht="28.5"/>
    <row r="74" ht="28.5"/>
    <row r="75" ht="28.5"/>
    <row r="76" ht="28.5"/>
    <row r="77" ht="28.5"/>
    <row r="78" ht="28.5"/>
    <row r="79" ht="28.5"/>
    <row r="80" ht="28.5"/>
    <row r="81" ht="28.5"/>
    <row r="82" ht="28.5"/>
    <row r="83" ht="28.5"/>
    <row r="84" ht="28.5"/>
    <row r="85" ht="28.5"/>
    <row r="86" ht="28.5"/>
    <row r="87" ht="28.5"/>
    <row r="88" ht="28.5"/>
    <row r="89" ht="28.5"/>
    <row r="90" ht="28.5"/>
    <row r="91" ht="28.5"/>
    <row r="92" ht="28.5"/>
    <row r="93" ht="28.5"/>
    <row r="94" ht="28.5"/>
    <row r="95" ht="28.5"/>
    <row r="96" ht="28.5"/>
    <row r="97" ht="28.5"/>
    <row r="98" ht="28.5"/>
    <row r="99" ht="28.5"/>
    <row r="100" ht="28.5"/>
    <row r="101" ht="28.5"/>
    <row r="102" ht="28.5"/>
    <row r="103" ht="28.5"/>
    <row r="104" ht="28.5"/>
    <row r="105" ht="28.5"/>
    <row r="106" ht="28.5"/>
    <row r="107" ht="28.5"/>
    <row r="108" ht="28.5"/>
    <row r="109" ht="28.5"/>
    <row r="110" ht="28.5"/>
    <row r="111" ht="28.5"/>
    <row r="112" ht="28.5"/>
    <row r="113" ht="28.5"/>
    <row r="114" ht="28.5"/>
    <row r="115" ht="28.5"/>
    <row r="116" ht="28.5"/>
    <row r="117" ht="28.5"/>
    <row r="118" ht="28.5"/>
    <row r="119" ht="28.5"/>
    <row r="120" ht="28.5"/>
    <row r="121" ht="28.5"/>
    <row r="122" ht="28.5"/>
    <row r="123" ht="28.5"/>
    <row r="124" ht="28.5"/>
    <row r="125" ht="28.5"/>
    <row r="126" ht="28.5"/>
    <row r="127" ht="28.5"/>
    <row r="128" ht="28.5"/>
    <row r="129" ht="28.5"/>
    <row r="130" ht="28.5"/>
    <row r="131" ht="28.5"/>
    <row r="132" ht="28.5"/>
    <row r="133" ht="28.5"/>
    <row r="134" ht="28.5"/>
    <row r="135" ht="28.5"/>
    <row r="136" ht="28.5"/>
    <row r="137" ht="28.5"/>
    <row r="138" ht="28.5"/>
    <row r="139" ht="28.5"/>
    <row r="140" ht="28.5"/>
    <row r="141" ht="28.5"/>
    <row r="142" ht="28.5"/>
    <row r="143" ht="28.5"/>
    <row r="144" ht="28.5"/>
    <row r="145" ht="28.5"/>
    <row r="146" ht="28.5"/>
    <row r="147" ht="28.5"/>
    <row r="148" ht="28.5"/>
    <row r="149" ht="28.5"/>
    <row r="150" ht="28.5"/>
    <row r="151" ht="28.5"/>
    <row r="152" ht="28.5"/>
    <row r="153" ht="28.5"/>
    <row r="154" ht="28.5"/>
    <row r="155" ht="28.5"/>
    <row r="156" ht="28.5"/>
    <row r="157" ht="28.5"/>
    <row r="158" ht="28.5"/>
    <row r="159" ht="28.5"/>
    <row r="160" ht="28.5"/>
    <row r="161" ht="28.5"/>
    <row r="162" ht="28.5"/>
    <row r="163" ht="28.5"/>
    <row r="164" ht="28.5"/>
    <row r="165" ht="28.5"/>
    <row r="166" ht="28.5"/>
    <row r="167" ht="28.5"/>
    <row r="168" ht="28.5"/>
    <row r="169" ht="28.5"/>
    <row r="170" ht="28.5"/>
    <row r="171" ht="28.5"/>
    <row r="172" ht="28.5"/>
    <row r="173" ht="28.5"/>
    <row r="174" ht="28.5"/>
    <row r="175" ht="28.5"/>
    <row r="176" ht="28.5"/>
    <row r="177" ht="28.5"/>
    <row r="178" ht="28.5"/>
    <row r="179" ht="28.5"/>
    <row r="180" ht="28.5"/>
    <row r="181" ht="28.5"/>
    <row r="182" ht="28.5"/>
    <row r="183" ht="28.5"/>
    <row r="184" ht="28.5"/>
    <row r="185" ht="28.5"/>
    <row r="186" ht="28.5"/>
    <row r="187" ht="28.5"/>
    <row r="188" ht="28.5"/>
    <row r="189" ht="28.5"/>
    <row r="190" ht="28.5"/>
    <row r="191" ht="28.5"/>
    <row r="192" ht="28.5"/>
    <row r="193" ht="28.5"/>
    <row r="194" ht="28.5"/>
    <row r="195" ht="28.5"/>
    <row r="196" ht="28.5"/>
    <row r="197" ht="28.5"/>
    <row r="198" ht="28.5"/>
    <row r="199" ht="28.5"/>
    <row r="200" ht="28.5"/>
    <row r="201" ht="28.5"/>
    <row r="202" ht="28.5"/>
    <row r="203" ht="28.5"/>
    <row r="204" ht="28.5"/>
    <row r="205" ht="28.5"/>
    <row r="206" ht="28.5"/>
    <row r="207" ht="28.5"/>
    <row r="208" ht="28.5"/>
    <row r="209" ht="28.5"/>
    <row r="210" ht="28.5"/>
    <row r="211" ht="28.5"/>
    <row r="212" ht="28.5"/>
    <row r="213" ht="28.5"/>
    <row r="214" ht="28.5"/>
    <row r="215" ht="28.5"/>
    <row r="216" ht="28.5"/>
    <row r="217" ht="28.5"/>
    <row r="218" ht="28.5"/>
    <row r="219" ht="28.5"/>
    <row r="220" ht="28.5"/>
    <row r="221" ht="28.5"/>
    <row r="222" ht="28.5"/>
    <row r="223" ht="28.5"/>
    <row r="224" ht="28.5"/>
    <row r="225" ht="28.5"/>
    <row r="226" ht="28.5"/>
    <row r="227" ht="28.5"/>
    <row r="228" ht="28.5"/>
    <row r="229" ht="28.5"/>
    <row r="230" ht="28.5"/>
    <row r="231" ht="28.5"/>
    <row r="232" ht="28.5"/>
    <row r="233" ht="28.5"/>
    <row r="234" ht="28.5"/>
    <row r="235" ht="28.5"/>
    <row r="236" ht="28.5"/>
    <row r="237" ht="28.5"/>
    <row r="238" ht="28.5"/>
    <row r="239" ht="28.5"/>
    <row r="240" ht="28.5"/>
    <row r="241" ht="28.5"/>
    <row r="242" ht="28.5"/>
    <row r="243" ht="28.5"/>
    <row r="244" ht="28.5"/>
    <row r="245" ht="28.5"/>
    <row r="246" ht="28.5"/>
    <row r="247" ht="28.5"/>
    <row r="248" ht="28.5"/>
    <row r="249" ht="28.5"/>
    <row r="250" ht="28.5"/>
    <row r="251" ht="28.5"/>
    <row r="252" ht="28.5"/>
    <row r="253" ht="28.5"/>
    <row r="254" ht="28.5"/>
    <row r="255" ht="28.5"/>
    <row r="256" ht="28.5"/>
    <row r="257" ht="28.5"/>
    <row r="258" ht="28.5"/>
    <row r="259" ht="28.5"/>
    <row r="260" ht="28.5"/>
    <row r="261" ht="28.5"/>
    <row r="262" ht="28.5"/>
    <row r="263" ht="28.5"/>
    <row r="264" ht="28.5"/>
    <row r="265" ht="28.5"/>
    <row r="266" ht="28.5"/>
    <row r="267" ht="28.5"/>
    <row r="268" ht="28.5"/>
    <row r="269" ht="28.5"/>
    <row r="270" ht="28.5"/>
    <row r="271" ht="28.5"/>
    <row r="272" ht="28.5"/>
    <row r="273" ht="28.5"/>
    <row r="274" ht="28.5"/>
    <row r="275" ht="28.5"/>
    <row r="276" ht="28.5"/>
    <row r="277" ht="28.5"/>
    <row r="278" ht="28.5"/>
    <row r="279" ht="28.5"/>
    <row r="280" ht="28.5"/>
    <row r="281" ht="28.5"/>
    <row r="282" ht="28.5"/>
    <row r="283" ht="28.5"/>
    <row r="284" ht="28.5"/>
    <row r="285" ht="28.5"/>
    <row r="286" ht="28.5"/>
    <row r="287" ht="28.5"/>
    <row r="288" ht="28.5"/>
    <row r="289" ht="28.5"/>
    <row r="290" ht="28.5"/>
    <row r="291" ht="28.5"/>
    <row r="292" ht="28.5"/>
    <row r="293" ht="28.5"/>
    <row r="294" ht="28.5"/>
    <row r="295" ht="28.5"/>
    <row r="296" ht="28.5"/>
    <row r="297" ht="28.5"/>
    <row r="298" ht="28.5"/>
    <row r="299" ht="28.5"/>
    <row r="300" ht="28.5"/>
    <row r="301" ht="28.5"/>
    <row r="302" ht="28.5"/>
    <row r="303" ht="28.5"/>
    <row r="304" ht="28.5"/>
    <row r="305" ht="28.5"/>
    <row r="306" ht="28.5"/>
    <row r="307" ht="28.5"/>
    <row r="308" ht="28.5"/>
    <row r="309" ht="28.5"/>
    <row r="310" ht="28.5"/>
    <row r="311" ht="28.5"/>
    <row r="312" ht="28.5"/>
    <row r="313" ht="28.5"/>
    <row r="314" ht="28.5"/>
    <row r="315" ht="28.5"/>
    <row r="316" ht="28.5"/>
    <row r="317" ht="28.5"/>
    <row r="318" ht="28.5"/>
    <row r="319" ht="28.5"/>
    <row r="320" ht="28.5"/>
    <row r="321" ht="28.5"/>
    <row r="322" ht="28.5"/>
    <row r="323" ht="28.5"/>
    <row r="324" ht="28.5"/>
    <row r="325" ht="28.5"/>
    <row r="326" ht="28.5"/>
    <row r="327" ht="28.5"/>
    <row r="328" ht="28.5"/>
    <row r="329" ht="28.5"/>
    <row r="330" ht="28.5"/>
    <row r="331" ht="28.5"/>
    <row r="332" ht="28.5"/>
    <row r="333" ht="28.5"/>
    <row r="334" ht="28.5"/>
    <row r="335" ht="28.5"/>
    <row r="336" ht="28.5"/>
    <row r="337" ht="28.5"/>
    <row r="338" ht="28.5"/>
    <row r="339" ht="28.5"/>
    <row r="340" ht="28.5"/>
    <row r="341" ht="28.5"/>
    <row r="342" ht="28.5"/>
    <row r="343" ht="28.5"/>
    <row r="344" ht="28.5"/>
    <row r="345" ht="28.5"/>
    <row r="346" ht="28.5"/>
    <row r="347" ht="28.5"/>
    <row r="348" ht="28.5"/>
    <row r="349" ht="28.5"/>
    <row r="350" ht="28.5"/>
    <row r="351" ht="28.5"/>
    <row r="352" ht="28.5"/>
    <row r="353" ht="28.5"/>
    <row r="354" ht="28.5"/>
    <row r="355" ht="28.5"/>
    <row r="356" ht="28.5"/>
    <row r="357" ht="28.5"/>
    <row r="358" ht="28.5"/>
    <row r="359" ht="28.5"/>
    <row r="360" ht="28.5"/>
    <row r="361" ht="28.5"/>
    <row r="362" ht="28.5"/>
    <row r="363" ht="28.5"/>
    <row r="364" ht="28.5"/>
    <row r="365" ht="28.5"/>
    <row r="366" ht="28.5"/>
    <row r="367" ht="28.5"/>
    <row r="368" ht="28.5"/>
    <row r="369" ht="28.5"/>
    <row r="370" ht="28.5"/>
    <row r="371" ht="28.5"/>
    <row r="372" ht="28.5"/>
    <row r="373" ht="28.5"/>
    <row r="374" ht="28.5"/>
    <row r="375" ht="28.5"/>
    <row r="376" ht="28.5"/>
    <row r="377" ht="28.5"/>
    <row r="378" ht="28.5"/>
    <row r="379" ht="28.5"/>
    <row r="380" ht="28.5"/>
    <row r="381" ht="28.5"/>
    <row r="382" ht="28.5"/>
    <row r="383" ht="28.5"/>
    <row r="384" ht="28.5"/>
    <row r="385" ht="28.5"/>
    <row r="386" ht="28.5"/>
    <row r="387" ht="28.5"/>
    <row r="388" ht="28.5"/>
    <row r="389" ht="28.5"/>
    <row r="390" ht="28.5"/>
    <row r="391" ht="28.5"/>
    <row r="392" ht="28.5"/>
    <row r="393" ht="28.5"/>
    <row r="394" ht="28.5"/>
    <row r="395" ht="28.5"/>
    <row r="396" ht="28.5"/>
    <row r="397" ht="28.5"/>
    <row r="398" ht="28.5"/>
    <row r="399" ht="28.5"/>
    <row r="400" ht="28.5"/>
    <row r="401" ht="28.5"/>
    <row r="402" ht="28.5"/>
    <row r="403" ht="28.5"/>
    <row r="404" ht="28.5"/>
    <row r="405" ht="28.5"/>
    <row r="406" ht="28.5"/>
    <row r="407" ht="28.5"/>
    <row r="408" ht="28.5"/>
    <row r="409" ht="28.5"/>
    <row r="410" ht="28.5"/>
    <row r="411" ht="28.5"/>
    <row r="412" ht="28.5"/>
    <row r="413" ht="28.5"/>
    <row r="414" ht="28.5"/>
    <row r="415" ht="28.5"/>
    <row r="416" ht="28.5"/>
    <row r="417" ht="28.5"/>
    <row r="418" ht="28.5"/>
    <row r="419" ht="28.5"/>
    <row r="420" ht="28.5"/>
    <row r="421" ht="28.5"/>
    <row r="422" ht="28.5"/>
    <row r="423" ht="28.5"/>
    <row r="424" ht="28.5"/>
    <row r="425" ht="28.5"/>
    <row r="426" ht="28.5"/>
    <row r="427" ht="28.5"/>
    <row r="428" ht="28.5"/>
    <row r="429" ht="28.5"/>
    <row r="430" ht="28.5"/>
    <row r="431" ht="28.5"/>
    <row r="432" ht="28.5"/>
    <row r="433" ht="28.5"/>
    <row r="434" ht="28.5"/>
    <row r="435" ht="28.5"/>
    <row r="436" ht="28.5"/>
    <row r="437" ht="28.5"/>
    <row r="438" ht="28.5"/>
    <row r="439" ht="28.5"/>
    <row r="440" ht="28.5"/>
    <row r="441" ht="28.5"/>
    <row r="442" ht="28.5"/>
    <row r="443" ht="28.5"/>
    <row r="444" ht="28.5"/>
    <row r="445" ht="28.5"/>
    <row r="446" ht="28.5"/>
    <row r="447" ht="28.5"/>
    <row r="448" ht="28.5"/>
    <row r="449" ht="28.5"/>
    <row r="450" ht="28.5"/>
    <row r="451" ht="28.5"/>
    <row r="452" ht="28.5"/>
    <row r="453" ht="28.5"/>
    <row r="454" ht="28.5"/>
    <row r="455" ht="28.5"/>
    <row r="456" ht="28.5"/>
    <row r="457" ht="28.5"/>
    <row r="458" ht="28.5"/>
    <row r="459" ht="28.5"/>
    <row r="460" ht="28.5"/>
    <row r="461" ht="28.5"/>
    <row r="462" ht="28.5"/>
    <row r="463" ht="28.5"/>
    <row r="464" ht="28.5"/>
    <row r="465" ht="28.5"/>
    <row r="466" ht="28.5"/>
    <row r="467" ht="28.5"/>
    <row r="468" ht="28.5"/>
    <row r="469" ht="28.5"/>
    <row r="470" ht="28.5"/>
    <row r="471" ht="28.5"/>
    <row r="472" ht="28.5"/>
    <row r="473" ht="28.5"/>
    <row r="474" ht="28.5"/>
    <row r="475" ht="28.5"/>
    <row r="476" ht="28.5"/>
    <row r="477" ht="28.5"/>
    <row r="478" ht="28.5"/>
    <row r="479" ht="28.5"/>
    <row r="480" ht="28.5"/>
    <row r="481" ht="28.5"/>
    <row r="482" ht="28.5"/>
    <row r="483" ht="28.5"/>
    <row r="484" ht="28.5"/>
    <row r="485" ht="28.5"/>
    <row r="486" ht="28.5"/>
    <row r="487" ht="28.5"/>
    <row r="488" ht="28.5"/>
    <row r="489" ht="28.5"/>
    <row r="490" ht="28.5"/>
    <row r="491" ht="28.5"/>
    <row r="492" ht="28.5"/>
    <row r="493" ht="28.5"/>
    <row r="494" ht="28.5"/>
    <row r="495" ht="28.5"/>
    <row r="496" ht="28.5"/>
    <row r="497" ht="28.5"/>
    <row r="498" ht="28.5"/>
    <row r="499" ht="28.5"/>
    <row r="500" ht="28.5"/>
    <row r="501" ht="28.5"/>
    <row r="502" ht="28.5"/>
    <row r="503" ht="28.5"/>
    <row r="504" ht="28.5"/>
    <row r="505" ht="28.5"/>
    <row r="506" ht="28.5"/>
    <row r="507" ht="28.5"/>
    <row r="508" ht="28.5"/>
    <row r="509" ht="28.5"/>
    <row r="510" ht="28.5"/>
    <row r="511" ht="28.5"/>
    <row r="512" ht="28.5"/>
    <row r="513" ht="28.5"/>
    <row r="514" ht="28.5"/>
    <row r="515" ht="28.5"/>
    <row r="516" ht="28.5"/>
    <row r="517" ht="28.5"/>
    <row r="518" ht="28.5"/>
    <row r="519" ht="28.5"/>
    <row r="520" ht="28.5"/>
    <row r="521" ht="28.5"/>
    <row r="522" ht="28.5"/>
    <row r="523" ht="28.5"/>
    <row r="524" ht="28.5"/>
    <row r="525" ht="28.5"/>
    <row r="526" ht="28.5"/>
    <row r="527" ht="28.5"/>
    <row r="528" ht="28.5"/>
    <row r="529" ht="28.5"/>
    <row r="530" ht="28.5"/>
    <row r="531" ht="28.5"/>
    <row r="532" ht="28.5"/>
    <row r="533" ht="28.5"/>
    <row r="534" ht="28.5"/>
    <row r="535" ht="28.5"/>
    <row r="536" ht="28.5"/>
    <row r="537" ht="28.5"/>
    <row r="538" ht="28.5"/>
    <row r="539" ht="28.5"/>
    <row r="540" ht="28.5"/>
    <row r="541" ht="28.5"/>
    <row r="542" ht="28.5"/>
    <row r="543" ht="28.5"/>
    <row r="544" ht="28.5"/>
    <row r="545" ht="28.5"/>
    <row r="546" ht="28.5"/>
    <row r="547" ht="28.5"/>
    <row r="548" ht="28.5"/>
    <row r="549" ht="28.5"/>
    <row r="550" ht="28.5"/>
    <row r="551" ht="28.5"/>
    <row r="552" ht="28.5"/>
    <row r="553" ht="28.5"/>
    <row r="554" ht="28.5"/>
    <row r="555" ht="28.5"/>
    <row r="556" ht="28.5"/>
    <row r="557" ht="28.5"/>
    <row r="558" ht="28.5"/>
    <row r="559" ht="28.5"/>
    <row r="560" ht="28.5"/>
    <row r="561" ht="28.5"/>
    <row r="562" ht="28.5"/>
    <row r="563" ht="28.5"/>
    <row r="564" ht="28.5"/>
    <row r="565" ht="28.5"/>
    <row r="566" ht="28.5"/>
    <row r="567" ht="28.5"/>
    <row r="568" ht="28.5"/>
    <row r="569" ht="28.5"/>
    <row r="570" ht="28.5"/>
    <row r="571" ht="28.5"/>
    <row r="572" ht="28.5"/>
    <row r="573" ht="28.5"/>
    <row r="574" ht="28.5"/>
    <row r="575" ht="28.5"/>
    <row r="576" ht="28.5"/>
    <row r="577" ht="28.5"/>
    <row r="578" ht="28.5"/>
    <row r="579" ht="28.5"/>
    <row r="580" ht="28.5"/>
    <row r="581" ht="28.5"/>
    <row r="582" ht="28.5"/>
    <row r="583" ht="28.5"/>
    <row r="584" ht="28.5"/>
    <row r="585" ht="28.5"/>
    <row r="586" ht="28.5"/>
    <row r="587" ht="28.5"/>
    <row r="588" ht="28.5"/>
    <row r="589" ht="28.5"/>
    <row r="590" ht="28.5"/>
    <row r="591" ht="28.5"/>
    <row r="592" ht="28.5"/>
    <row r="593" ht="28.5"/>
    <row r="594" ht="28.5"/>
    <row r="595" ht="28.5"/>
    <row r="596" ht="28.5"/>
    <row r="597" ht="28.5"/>
    <row r="598" ht="28.5"/>
    <row r="599" ht="28.5"/>
    <row r="600" ht="28.5"/>
    <row r="601" ht="28.5"/>
    <row r="602" ht="28.5"/>
    <row r="603" ht="28.5"/>
    <row r="604" ht="28.5"/>
    <row r="605" ht="28.5"/>
    <row r="606" ht="28.5"/>
    <row r="607" ht="28.5"/>
    <row r="608" ht="28.5"/>
    <row r="609" ht="28.5"/>
    <row r="610" ht="28.5"/>
    <row r="611" ht="28.5"/>
    <row r="612" ht="28.5"/>
    <row r="613" ht="28.5"/>
    <row r="614" ht="28.5"/>
    <row r="615" ht="28.5"/>
    <row r="616" ht="28.5"/>
    <row r="617" ht="28.5"/>
    <row r="618" ht="28.5"/>
    <row r="619" ht="28.5"/>
    <row r="620" ht="28.5"/>
    <row r="621" ht="28.5"/>
    <row r="622" ht="28.5"/>
    <row r="623" ht="28.5"/>
    <row r="624" ht="28.5"/>
    <row r="625" ht="28.5"/>
    <row r="626" ht="28.5"/>
    <row r="627" ht="28.5"/>
    <row r="628" ht="28.5"/>
    <row r="629" ht="28.5"/>
    <row r="630" ht="28.5"/>
    <row r="631" ht="28.5"/>
    <row r="632" ht="28.5"/>
    <row r="633" ht="28.5"/>
    <row r="634" ht="28.5"/>
    <row r="635" ht="28.5"/>
    <row r="636" ht="28.5"/>
    <row r="637" ht="28.5"/>
    <row r="638" ht="28.5"/>
    <row r="639" ht="28.5"/>
    <row r="640" ht="28.5"/>
    <row r="641" ht="28.5"/>
    <row r="642" ht="28.5"/>
    <row r="643" ht="28.5"/>
    <row r="644" ht="28.5"/>
    <row r="645" ht="28.5"/>
    <row r="646" ht="28.5"/>
    <row r="647" ht="28.5"/>
    <row r="648" ht="28.5"/>
    <row r="649" ht="28.5"/>
    <row r="650" ht="28.5"/>
    <row r="651" ht="28.5"/>
    <row r="652" ht="28.5"/>
    <row r="653" ht="28.5"/>
    <row r="654" ht="28.5"/>
    <row r="655" ht="28.5"/>
    <row r="656" ht="28.5"/>
    <row r="657" ht="28.5"/>
    <row r="658" ht="28.5"/>
    <row r="659" ht="28.5"/>
    <row r="660" ht="28.5"/>
    <row r="661" ht="28.5"/>
    <row r="662" ht="28.5"/>
    <row r="663" ht="28.5"/>
    <row r="664" ht="28.5"/>
    <row r="665" ht="28.5"/>
    <row r="666" ht="28.5"/>
    <row r="667" ht="28.5"/>
    <row r="668" ht="28.5"/>
    <row r="669" ht="28.5"/>
    <row r="670" ht="28.5"/>
    <row r="671" ht="28.5"/>
    <row r="672" ht="28.5"/>
    <row r="673" ht="28.5"/>
    <row r="674" ht="28.5"/>
    <row r="675" ht="28.5"/>
    <row r="676" ht="28.5"/>
    <row r="677" ht="28.5"/>
    <row r="678" ht="28.5"/>
    <row r="679" ht="28.5"/>
    <row r="680" ht="28.5"/>
    <row r="681" ht="28.5"/>
    <row r="682" ht="28.5"/>
    <row r="683" ht="28.5"/>
    <row r="684" ht="28.5"/>
    <row r="685" ht="28.5"/>
    <row r="686" ht="28.5"/>
    <row r="687" ht="28.5"/>
    <row r="688" ht="28.5"/>
    <row r="689" ht="28.5"/>
    <row r="690" ht="28.5"/>
    <row r="691" ht="28.5"/>
    <row r="692" ht="28.5"/>
    <row r="693" ht="28.5"/>
    <row r="694" ht="28.5"/>
    <row r="695" ht="28.5"/>
    <row r="696" ht="28.5"/>
    <row r="697" ht="28.5"/>
    <row r="698" ht="28.5"/>
    <row r="699" ht="28.5"/>
    <row r="700" ht="28.5"/>
    <row r="701" ht="28.5"/>
    <row r="702" ht="28.5"/>
    <row r="703" ht="28.5"/>
    <row r="704" ht="28.5"/>
    <row r="705" ht="28.5"/>
    <row r="706" ht="28.5"/>
    <row r="707" ht="28.5"/>
    <row r="708" ht="28.5"/>
    <row r="709" ht="28.5"/>
    <row r="710" ht="28.5"/>
    <row r="711" ht="28.5"/>
    <row r="712" ht="28.5"/>
    <row r="713" ht="28.5"/>
    <row r="714" ht="28.5"/>
    <row r="715" ht="28.5"/>
    <row r="716" ht="28.5"/>
    <row r="717" ht="28.5"/>
    <row r="718" ht="28.5"/>
    <row r="719" ht="28.5"/>
    <row r="720" ht="28.5"/>
    <row r="721" ht="28.5"/>
    <row r="722" ht="28.5"/>
    <row r="723" ht="28.5"/>
    <row r="724" ht="28.5"/>
    <row r="725" ht="28.5"/>
    <row r="726" ht="28.5"/>
    <row r="727" ht="28.5"/>
    <row r="728" ht="28.5"/>
    <row r="729" ht="28.5"/>
    <row r="730" ht="28.5"/>
    <row r="731" ht="28.5"/>
    <row r="732" ht="28.5"/>
    <row r="733" ht="28.5"/>
    <row r="734" ht="28.5"/>
    <row r="735" ht="28.5"/>
    <row r="736" ht="28.5"/>
    <row r="737" ht="28.5"/>
    <row r="738" ht="28.5"/>
    <row r="739" ht="28.5"/>
    <row r="740" ht="28.5"/>
    <row r="741" ht="28.5"/>
    <row r="742" ht="28.5"/>
    <row r="743" ht="28.5"/>
    <row r="744" ht="28.5"/>
    <row r="745" ht="28.5"/>
    <row r="746" ht="28.5"/>
    <row r="747" ht="28.5"/>
    <row r="748" ht="28.5"/>
    <row r="749" ht="28.5"/>
    <row r="750" ht="28.5"/>
    <row r="751" ht="28.5"/>
    <row r="752" ht="28.5"/>
    <row r="753" ht="28.5"/>
    <row r="754" ht="28.5"/>
    <row r="755" ht="28.5"/>
    <row r="756" ht="28.5"/>
    <row r="757" ht="28.5"/>
    <row r="758" ht="28.5"/>
    <row r="759" ht="28.5"/>
    <row r="760" ht="28.5"/>
    <row r="761" ht="28.5"/>
    <row r="762" ht="28.5"/>
    <row r="763" ht="28.5"/>
    <row r="764" ht="28.5"/>
    <row r="765" ht="28.5"/>
    <row r="766" ht="28.5"/>
    <row r="767" ht="28.5"/>
    <row r="768" ht="28.5"/>
    <row r="769" ht="28.5"/>
    <row r="770" ht="28.5"/>
    <row r="771" ht="28.5"/>
    <row r="772" ht="28.5"/>
    <row r="773" ht="28.5"/>
    <row r="774" ht="28.5"/>
    <row r="775" ht="28.5"/>
    <row r="776" ht="28.5"/>
    <row r="777" ht="28.5"/>
    <row r="778" ht="28.5"/>
    <row r="779" ht="28.5"/>
    <row r="780" ht="28.5"/>
    <row r="781" ht="28.5"/>
    <row r="782" ht="28.5"/>
    <row r="783" ht="28.5"/>
    <row r="784" ht="28.5"/>
    <row r="785" ht="28.5"/>
    <row r="786" ht="28.5"/>
    <row r="787" ht="28.5"/>
    <row r="788" ht="28.5"/>
    <row r="789" ht="28.5"/>
    <row r="790" ht="28.5"/>
    <row r="791" ht="28.5"/>
    <row r="792" ht="28.5"/>
    <row r="793" ht="28.5"/>
    <row r="794" ht="28.5"/>
    <row r="795" ht="28.5"/>
    <row r="796" ht="28.5"/>
    <row r="797" ht="28.5"/>
    <row r="798" ht="28.5"/>
    <row r="799" ht="28.5"/>
    <row r="800" ht="28.5"/>
    <row r="801" ht="28.5"/>
    <row r="802" ht="28.5"/>
    <row r="803" ht="28.5"/>
    <row r="804" ht="28.5"/>
    <row r="805" ht="28.5"/>
    <row r="806" ht="28.5"/>
    <row r="807" ht="28.5"/>
    <row r="808" ht="28.5"/>
    <row r="809" ht="28.5"/>
    <row r="810" ht="28.5"/>
    <row r="811" ht="28.5"/>
    <row r="812" ht="28.5"/>
    <row r="813" ht="28.5"/>
    <row r="814" ht="28.5"/>
    <row r="815" ht="28.5"/>
    <row r="816" ht="28.5"/>
    <row r="817" ht="28.5"/>
    <row r="818" ht="28.5"/>
    <row r="819" ht="28.5"/>
    <row r="820" ht="28.5"/>
    <row r="821" ht="28.5"/>
    <row r="822" ht="28.5"/>
    <row r="823" ht="28.5"/>
    <row r="824" ht="28.5"/>
    <row r="825" ht="28.5"/>
    <row r="826" ht="28.5"/>
    <row r="827" ht="28.5"/>
    <row r="828" ht="28.5"/>
    <row r="829" ht="28.5"/>
    <row r="830" ht="28.5"/>
    <row r="831" ht="28.5"/>
    <row r="832" ht="28.5"/>
    <row r="833" ht="28.5"/>
    <row r="834" ht="28.5"/>
    <row r="835" ht="28.5"/>
    <row r="836" ht="28.5"/>
    <row r="837" ht="28.5"/>
    <row r="838" ht="28.5"/>
    <row r="839" ht="28.5"/>
    <row r="840" ht="28.5"/>
    <row r="841" ht="28.5"/>
    <row r="842" ht="28.5"/>
    <row r="843" ht="28.5"/>
    <row r="844" ht="28.5"/>
    <row r="845" ht="28.5"/>
    <row r="846" ht="28.5"/>
    <row r="847" ht="28.5"/>
    <row r="848" ht="28.5"/>
    <row r="849" ht="28.5"/>
    <row r="850" ht="28.5"/>
    <row r="851" ht="28.5"/>
    <row r="852" ht="28.5"/>
    <row r="853" ht="28.5"/>
    <row r="854" ht="28.5"/>
    <row r="855" ht="28.5"/>
    <row r="856" ht="28.5"/>
    <row r="857" ht="28.5"/>
    <row r="858" ht="28.5"/>
    <row r="859" ht="28.5"/>
    <row r="860" ht="28.5"/>
    <row r="861" ht="28.5"/>
    <row r="862" ht="28.5"/>
    <row r="863" ht="28.5"/>
    <row r="864" ht="28.5"/>
    <row r="865" ht="28.5"/>
    <row r="866" ht="28.5"/>
    <row r="867" ht="28.5"/>
    <row r="868" ht="28.5"/>
    <row r="869" ht="28.5"/>
    <row r="870" ht="28.5"/>
    <row r="871" ht="28.5"/>
    <row r="872" ht="28.5"/>
    <row r="873" ht="28.5"/>
    <row r="874" ht="28.5"/>
    <row r="875" ht="28.5"/>
    <row r="876" ht="28.5"/>
    <row r="877" ht="28.5"/>
    <row r="878" ht="28.5"/>
    <row r="879" ht="28.5"/>
    <row r="880" ht="28.5"/>
    <row r="881" ht="28.5"/>
    <row r="882" ht="28.5"/>
    <row r="883" ht="28.5"/>
    <row r="884" ht="28.5"/>
    <row r="885" ht="28.5"/>
    <row r="886" ht="28.5"/>
    <row r="887" ht="28.5"/>
    <row r="888" ht="28.5"/>
    <row r="889" ht="28.5"/>
    <row r="890" ht="28.5"/>
    <row r="891" ht="28.5"/>
    <row r="892" ht="28.5"/>
    <row r="893" ht="28.5"/>
    <row r="894" ht="28.5"/>
    <row r="895" ht="28.5"/>
    <row r="896" ht="28.5"/>
    <row r="897" ht="28.5"/>
    <row r="898" ht="28.5"/>
    <row r="899" ht="28.5"/>
    <row r="900" ht="28.5"/>
    <row r="901" ht="28.5"/>
    <row r="902" ht="28.5"/>
    <row r="903" ht="28.5"/>
    <row r="904" ht="28.5"/>
    <row r="905" ht="28.5"/>
    <row r="906" ht="28.5"/>
    <row r="907" ht="28.5"/>
    <row r="908" ht="28.5"/>
    <row r="909" ht="28.5"/>
    <row r="910" ht="28.5"/>
    <row r="911" ht="28.5"/>
    <row r="912" ht="28.5"/>
    <row r="913" ht="28.5"/>
    <row r="914" ht="28.5"/>
    <row r="915" ht="28.5"/>
    <row r="916" ht="28.5"/>
    <row r="917" ht="28.5"/>
    <row r="918" ht="28.5"/>
    <row r="919" ht="28.5"/>
    <row r="920" ht="28.5"/>
    <row r="921" ht="28.5"/>
    <row r="922" ht="28.5"/>
    <row r="923" ht="28.5"/>
    <row r="924" ht="28.5"/>
    <row r="925" ht="28.5"/>
    <row r="926" ht="28.5"/>
    <row r="927" ht="28.5"/>
    <row r="928" ht="28.5"/>
    <row r="929" ht="28.5"/>
    <row r="930" ht="28.5"/>
    <row r="931" ht="28.5"/>
    <row r="932" ht="28.5"/>
    <row r="933" ht="28.5"/>
    <row r="934" ht="28.5"/>
    <row r="935" ht="28.5"/>
    <row r="936" ht="28.5"/>
    <row r="937" ht="28.5"/>
    <row r="938" ht="28.5"/>
    <row r="939" ht="28.5"/>
    <row r="940" ht="28.5"/>
    <row r="941" ht="28.5"/>
    <row r="942" ht="28.5"/>
    <row r="943" ht="28.5"/>
    <row r="944" ht="28.5"/>
    <row r="945" ht="28.5"/>
    <row r="946" ht="28.5"/>
    <row r="947" ht="28.5"/>
    <row r="948" ht="28.5"/>
    <row r="949" ht="28.5"/>
    <row r="950" ht="28.5"/>
    <row r="951" ht="28.5"/>
    <row r="952" ht="28.5"/>
    <row r="953" ht="28.5"/>
    <row r="954" ht="28.5"/>
    <row r="955" ht="28.5"/>
    <row r="956" ht="28.5"/>
    <row r="957" ht="28.5"/>
    <row r="958" ht="28.5"/>
    <row r="959" ht="28.5"/>
    <row r="960" ht="28.5"/>
    <row r="961" ht="28.5"/>
    <row r="962" ht="28.5"/>
    <row r="963" ht="28.5"/>
    <row r="964" ht="28.5"/>
    <row r="965" ht="28.5"/>
    <row r="966" ht="28.5"/>
    <row r="967" ht="28.5"/>
    <row r="968" ht="28.5"/>
    <row r="969" ht="28.5"/>
    <row r="970" ht="28.5"/>
    <row r="971" ht="28.5"/>
    <row r="972" ht="28.5"/>
    <row r="973" ht="28.5"/>
    <row r="974" ht="28.5"/>
    <row r="975" ht="28.5"/>
    <row r="976" ht="28.5"/>
    <row r="977" ht="28.5"/>
    <row r="978" ht="28.5"/>
    <row r="979" ht="28.5"/>
    <row r="980" ht="28.5"/>
    <row r="981" ht="28.5"/>
    <row r="982" ht="28.5"/>
    <row r="983" ht="28.5"/>
    <row r="984" ht="28.5"/>
    <row r="985" ht="28.5"/>
    <row r="986" ht="28.5"/>
    <row r="987" ht="28.5"/>
    <row r="988" ht="28.5"/>
    <row r="989" ht="28.5"/>
    <row r="990" ht="28.5"/>
    <row r="991" ht="28.5"/>
    <row r="992" ht="28.5"/>
    <row r="993" ht="28.5"/>
    <row r="994" ht="28.5"/>
    <row r="995" ht="28.5"/>
    <row r="996" ht="28.5"/>
    <row r="997" ht="28.5"/>
    <row r="998" ht="28.5"/>
    <row r="999" ht="28.5"/>
    <row r="1000" ht="28.5">
      <c r="A1000" s="1" t="s">
        <v>406</v>
      </c>
    </row>
  </sheetData>
  <sheetProtection/>
  <mergeCells count="1">
    <mergeCell ref="C34:H34"/>
  </mergeCells>
  <hyperlinks>
    <hyperlink ref="C5" location="'Cuenta de Resultados'!A1" display="'Cuenta de Resultados'!A1"/>
    <hyperlink ref="C6" location="'Cuenta de Resultados Proforma'!A1" display="'Cuenta de Resultados Proforma'!A1"/>
    <hyperlink ref="C9" location="España!A1" display="España!A1"/>
    <hyperlink ref="C10" location="EEUU!A1" display="EEUU!A1"/>
    <hyperlink ref="C11" location="Mexico!A1" display="Mexico!A1"/>
    <hyperlink ref="C12" location="Turquia!A1" display="Turquia!A1"/>
    <hyperlink ref="C13" location="AdS!A1" display="AdS!A1"/>
    <hyperlink ref="C14" location="Argentina!A1" display="Argentina!A1"/>
    <hyperlink ref="C15" location="Chile!A1" display="Chile!A1"/>
    <hyperlink ref="C16" location="Colombia!A1" display="Colombia!A1"/>
    <hyperlink ref="C17" location="Peru!A1" display="Peru!A1"/>
    <hyperlink ref="C18" location="'Resto de Eurasia'!A1" display="'Resto de Eurasia'!A1"/>
    <hyperlink ref="C19" location="'Centro Corporativo'!A1" display="'Centro Corporativo'!A1"/>
    <hyperlink ref="C22" location="'Corporate &amp; Investment Banking'!A1" display="'Corporate &amp; Investment Banking'!A1"/>
    <hyperlink ref="C24" location="Eficiencia!A1" display="Eficiencia!A1"/>
    <hyperlink ref="C25" location="'Mora,cobertura,coste de riesgo'!A1" display="'Mora,cobertura,coste de riesgo'!A1"/>
    <hyperlink ref="C26" location="'Empleados, oficinas y cajeros'!A1" display="'Empleados, oficinas y cajeros'!A1"/>
    <hyperlink ref="C27" location="'Tipos de Cambio'!A1" display="'Tipos de Cambio'!A1"/>
    <hyperlink ref="C29" location="APRs!A1" display="APRs!A1"/>
    <hyperlink ref="C28" location="Diferenciales!A1" display="Diferenciales!A1"/>
    <hyperlink ref="C31" location="Recursos!A1" display="Recursos!A1"/>
    <hyperlink ref="C7" location="Balance!A1" display="Balance!A1"/>
    <hyperlink ref="C32" location="ALCO!A1" display="ALCO!A1"/>
    <hyperlink ref="C30" location="Inversion!A1" display="Inversion!A1"/>
  </hyperlinks>
  <printOptions/>
  <pageMargins left="0.7" right="0.7" top="0.75" bottom="0.75" header="0.3" footer="0.3"/>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HLOOKUP(INDICE!$F$2,Nombres!$C$3:$D$636,14,FALSE)</f>
        <v>Argentina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179.91014893</v>
      </c>
      <c r="C8" s="41">
        <v>136.94955721000002</v>
      </c>
      <c r="D8" s="41">
        <v>89.75229385999994</v>
      </c>
      <c r="E8" s="42">
        <v>248.99500000000003</v>
      </c>
      <c r="F8" s="52">
        <v>218.803</v>
      </c>
      <c r="G8" s="52">
        <v>307.63999999999993</v>
      </c>
      <c r="H8" s="52">
        <v>215.18200000000002</v>
      </c>
    </row>
    <row r="9" spans="1:8" ht="15">
      <c r="A9" s="43" t="str">
        <f>HLOOKUP(INDICE!$F$2,Nombres!$C$3:$D$636,34,FALSE)</f>
        <v>Net fees and commissions</v>
      </c>
      <c r="B9" s="44">
        <v>44.985002560000005</v>
      </c>
      <c r="C9" s="44">
        <v>28.91543819000002</v>
      </c>
      <c r="D9" s="44">
        <v>18.769394690000006</v>
      </c>
      <c r="E9" s="45">
        <v>56.59070104999999</v>
      </c>
      <c r="F9" s="44">
        <v>31.991350079999993</v>
      </c>
      <c r="G9" s="44">
        <v>53.86807381</v>
      </c>
      <c r="H9" s="44">
        <v>17.358043630000008</v>
      </c>
    </row>
    <row r="10" spans="1:8" ht="15">
      <c r="A10" s="43" t="str">
        <f>HLOOKUP(INDICE!$F$2,Nombres!$C$3:$D$636,35,FALSE)</f>
        <v>Net trading income</v>
      </c>
      <c r="B10" s="44">
        <v>40.061317700000004</v>
      </c>
      <c r="C10" s="44">
        <v>28.76541553</v>
      </c>
      <c r="D10" s="44">
        <v>23.658349509999994</v>
      </c>
      <c r="E10" s="45">
        <v>42.56423600000001</v>
      </c>
      <c r="F10" s="44">
        <v>136.71650434999998</v>
      </c>
      <c r="G10" s="44">
        <v>41.24706275000001</v>
      </c>
      <c r="H10" s="44">
        <v>36.24441836</v>
      </c>
    </row>
    <row r="11" spans="1:8" ht="15">
      <c r="A11" s="43" t="str">
        <f>HLOOKUP(INDICE!$F$2,Nombres!$C$3:$D$636,36,FALSE)</f>
        <v>Other operating income and expenses</v>
      </c>
      <c r="B11" s="44">
        <v>-55.12543105</v>
      </c>
      <c r="C11" s="44">
        <v>-44.02712607999999</v>
      </c>
      <c r="D11" s="44">
        <v>-54.504442870000005</v>
      </c>
      <c r="E11" s="45">
        <v>-121.57</v>
      </c>
      <c r="F11" s="44">
        <v>-108.839</v>
      </c>
      <c r="G11" s="44">
        <v>-106.07900000000002</v>
      </c>
      <c r="H11" s="44">
        <v>-85.68499999999997</v>
      </c>
    </row>
    <row r="12" spans="1:8" ht="15">
      <c r="A12" s="41" t="str">
        <f>HLOOKUP(INDICE!$F$2,Nombres!$C$3:$D$636,37,FALSE)</f>
        <v>Gross income</v>
      </c>
      <c r="B12" s="41">
        <f>+SUM(B8:B11)</f>
        <v>209.83103814</v>
      </c>
      <c r="C12" s="41">
        <f aca="true" t="shared" si="0" ref="C12:H12">+SUM(C8:C11)</f>
        <v>150.60328485000005</v>
      </c>
      <c r="D12" s="41">
        <f t="shared" si="0"/>
        <v>77.67559518999992</v>
      </c>
      <c r="E12" s="42">
        <f t="shared" si="0"/>
        <v>226.57993705</v>
      </c>
      <c r="F12" s="52">
        <f t="shared" si="0"/>
        <v>278.67185443</v>
      </c>
      <c r="G12" s="52">
        <f t="shared" si="0"/>
        <v>296.6761365599999</v>
      </c>
      <c r="H12" s="52">
        <f t="shared" si="0"/>
        <v>183.09946199000004</v>
      </c>
    </row>
    <row r="13" spans="1:8" ht="15">
      <c r="A13" s="43" t="str">
        <f>HLOOKUP(INDICE!$F$2,Nombres!$C$3:$D$636,38,FALSE)</f>
        <v>Operating expenses</v>
      </c>
      <c r="B13" s="44">
        <v>-148.05925408</v>
      </c>
      <c r="C13" s="44">
        <v>-90.21826501</v>
      </c>
      <c r="D13" s="44">
        <v>-72.40776008</v>
      </c>
      <c r="E13" s="45">
        <v>-179.34065288000002</v>
      </c>
      <c r="F13" s="44">
        <v>-104.91064276</v>
      </c>
      <c r="G13" s="44">
        <v>-135.33064227</v>
      </c>
      <c r="H13" s="44">
        <v>-96.90064226999999</v>
      </c>
    </row>
    <row r="14" spans="1:8" ht="15">
      <c r="A14" s="43" t="str">
        <f>HLOOKUP(INDICE!$F$2,Nombres!$C$3:$D$636,39,FALSE)</f>
        <v>  Administration expenses</v>
      </c>
      <c r="B14" s="44">
        <v>-143.90851486000003</v>
      </c>
      <c r="C14" s="44">
        <v>-87.82682195999999</v>
      </c>
      <c r="D14" s="44">
        <v>-57.824942349999986</v>
      </c>
      <c r="E14" s="45">
        <v>-165.55265287999998</v>
      </c>
      <c r="F14" s="44">
        <v>-94.68664276000001</v>
      </c>
      <c r="G14" s="44">
        <v>-122.40764227000001</v>
      </c>
      <c r="H14" s="44">
        <v>-89.45064227</v>
      </c>
    </row>
    <row r="15" spans="1:8" ht="15">
      <c r="A15" s="46" t="str">
        <f>HLOOKUP(INDICE!$F$2,Nombres!$C$3:$D$636,40,FALSE)</f>
        <v>  Personnel expenses</v>
      </c>
      <c r="B15" s="44">
        <v>-81.15646229000001</v>
      </c>
      <c r="C15" s="44">
        <v>-47.72713595</v>
      </c>
      <c r="D15" s="44">
        <v>-31.879401759999997</v>
      </c>
      <c r="E15" s="45">
        <v>-89.378</v>
      </c>
      <c r="F15" s="44">
        <v>-59.40199999999999</v>
      </c>
      <c r="G15" s="44">
        <v>-76.21700000000001</v>
      </c>
      <c r="H15" s="44">
        <v>-47.14</v>
      </c>
    </row>
    <row r="16" spans="1:8" ht="15">
      <c r="A16" s="46" t="str">
        <f>HLOOKUP(INDICE!$F$2,Nombres!$C$3:$D$636,41,FALSE)</f>
        <v>  General and administrative expenses</v>
      </c>
      <c r="B16" s="44">
        <v>-62.752052569999975</v>
      </c>
      <c r="C16" s="44">
        <v>-40.09968601</v>
      </c>
      <c r="D16" s="44">
        <v>-25.945540590000004</v>
      </c>
      <c r="E16" s="45">
        <v>-76.17465288000001</v>
      </c>
      <c r="F16" s="44">
        <v>-35.284642760000004</v>
      </c>
      <c r="G16" s="44">
        <v>-46.19064227</v>
      </c>
      <c r="H16" s="44">
        <v>-42.31064227</v>
      </c>
    </row>
    <row r="17" spans="1:8" ht="15">
      <c r="A17" s="43" t="str">
        <f>HLOOKUP(INDICE!$F$2,Nombres!$C$3:$D$636,42,FALSE)</f>
        <v>  Depreciation</v>
      </c>
      <c r="B17" s="44">
        <v>-4.15073922</v>
      </c>
      <c r="C17" s="44">
        <v>-2.3914430500000012</v>
      </c>
      <c r="D17" s="44">
        <v>-14.58281773</v>
      </c>
      <c r="E17" s="45">
        <v>-13.787999999999998</v>
      </c>
      <c r="F17" s="44">
        <v>-10.224</v>
      </c>
      <c r="G17" s="44">
        <v>-12.923</v>
      </c>
      <c r="H17" s="44">
        <v>-7.45</v>
      </c>
    </row>
    <row r="18" spans="1:8" ht="15">
      <c r="A18" s="41" t="str">
        <f>HLOOKUP(INDICE!$F$2,Nombres!$C$3:$D$636,43,FALSE)</f>
        <v>Operating income</v>
      </c>
      <c r="B18" s="41">
        <f>+B12+B13</f>
        <v>61.771784060000016</v>
      </c>
      <c r="C18" s="41">
        <f aca="true" t="shared" si="1" ref="C18:H18">+C12+C13</f>
        <v>60.385019840000055</v>
      </c>
      <c r="D18" s="41">
        <f t="shared" si="1"/>
        <v>5.267835109999922</v>
      </c>
      <c r="E18" s="42">
        <f t="shared" si="1"/>
        <v>47.23928416999999</v>
      </c>
      <c r="F18" s="52">
        <f t="shared" si="1"/>
        <v>173.76121167</v>
      </c>
      <c r="G18" s="52">
        <f t="shared" si="1"/>
        <v>161.34549428999992</v>
      </c>
      <c r="H18" s="52">
        <f t="shared" si="1"/>
        <v>86.19881972000005</v>
      </c>
    </row>
    <row r="19" spans="1:8" ht="15">
      <c r="A19" s="43" t="str">
        <f>HLOOKUP(INDICE!$F$2,Nombres!$C$3:$D$636,44,FALSE)</f>
        <v>Impaiment on financial assets not measured at fair value through profit or loss</v>
      </c>
      <c r="B19" s="44">
        <v>-15.180512200000003</v>
      </c>
      <c r="C19" s="44">
        <v>-16.548779359999997</v>
      </c>
      <c r="D19" s="44">
        <v>-15.972708449999994</v>
      </c>
      <c r="E19" s="45">
        <v>-33.33</v>
      </c>
      <c r="F19" s="44">
        <v>-23.13300000000001</v>
      </c>
      <c r="G19" s="44">
        <v>-41.50199999999999</v>
      </c>
      <c r="H19" s="44">
        <v>-103.51800000000001</v>
      </c>
    </row>
    <row r="20" spans="1:8" ht="15">
      <c r="A20" s="43" t="str">
        <f>HLOOKUP(INDICE!$F$2,Nombres!$C$3:$D$636,45,FALSE)</f>
        <v>Provisions or reversal of provisions and other results</v>
      </c>
      <c r="B20" s="44">
        <v>-8.016930020000006</v>
      </c>
      <c r="C20" s="44">
        <v>-6.528256750000003</v>
      </c>
      <c r="D20" s="44">
        <v>-4.020813229999998</v>
      </c>
      <c r="E20" s="45">
        <v>-8.844000000000001</v>
      </c>
      <c r="F20" s="44">
        <v>-5.202999999999996</v>
      </c>
      <c r="G20" s="44">
        <v>-10.908999999999986</v>
      </c>
      <c r="H20" s="44">
        <v>-14.277000000000013</v>
      </c>
    </row>
    <row r="21" spans="1:8" ht="15">
      <c r="A21" s="41" t="str">
        <f>HLOOKUP(INDICE!$F$2,Nombres!$C$3:$D$636,46,FALSE)</f>
        <v>Profit/(loss) before tax</v>
      </c>
      <c r="B21" s="41">
        <f>+B18+B19+B20</f>
        <v>38.57434184000001</v>
      </c>
      <c r="C21" s="41">
        <f aca="true" t="shared" si="2" ref="C21:H21">+C18+C19+C20</f>
        <v>37.30798373000005</v>
      </c>
      <c r="D21" s="41">
        <f t="shared" si="2"/>
        <v>-14.72568657000007</v>
      </c>
      <c r="E21" s="42">
        <f t="shared" si="2"/>
        <v>5.065284169999991</v>
      </c>
      <c r="F21" s="52">
        <f t="shared" si="2"/>
        <v>145.42521166999998</v>
      </c>
      <c r="G21" s="52">
        <f t="shared" si="2"/>
        <v>108.93449428999995</v>
      </c>
      <c r="H21" s="52">
        <f t="shared" si="2"/>
        <v>-31.596180279999984</v>
      </c>
    </row>
    <row r="22" spans="1:8" ht="15">
      <c r="A22" s="43" t="str">
        <f>HLOOKUP(INDICE!$F$2,Nombres!$C$3:$D$636,47,FALSE)</f>
        <v>Income tax</v>
      </c>
      <c r="B22" s="44">
        <v>-37.51791237999999</v>
      </c>
      <c r="C22" s="44">
        <v>-42.05440954</v>
      </c>
      <c r="D22" s="44">
        <v>14.061998409999994</v>
      </c>
      <c r="E22" s="45">
        <v>-51.06455323</v>
      </c>
      <c r="F22" s="44">
        <v>-53.987152</v>
      </c>
      <c r="G22" s="44">
        <v>-41.190709149999996</v>
      </c>
      <c r="H22" s="44">
        <v>47.65246832</v>
      </c>
    </row>
    <row r="23" spans="1:8" ht="15">
      <c r="A23" s="41" t="str">
        <f>HLOOKUP(INDICE!$F$2,Nombres!$C$3:$D$636,48,FALSE)</f>
        <v>Profit/(loss) for the year</v>
      </c>
      <c r="B23" s="41">
        <f>+B21+B22</f>
        <v>1.0564294600000181</v>
      </c>
      <c r="C23" s="41">
        <f aca="true" t="shared" si="3" ref="C23:H23">+C21+C22</f>
        <v>-4.746425809999948</v>
      </c>
      <c r="D23" s="41">
        <f t="shared" si="3"/>
        <v>-0.6636881600000759</v>
      </c>
      <c r="E23" s="42">
        <f t="shared" si="3"/>
        <v>-45.99926906000001</v>
      </c>
      <c r="F23" s="52">
        <f t="shared" si="3"/>
        <v>91.43805966999997</v>
      </c>
      <c r="G23" s="52">
        <f t="shared" si="3"/>
        <v>67.74378513999994</v>
      </c>
      <c r="H23" s="52">
        <f t="shared" si="3"/>
        <v>16.056288040000013</v>
      </c>
    </row>
    <row r="24" spans="1:8" ht="15">
      <c r="A24" s="43" t="str">
        <f>HLOOKUP(INDICE!$F$2,Nombres!$C$3:$D$636,49,FALSE)</f>
        <v>Non-controlling interests</v>
      </c>
      <c r="B24" s="44">
        <v>0.3141556699999981</v>
      </c>
      <c r="C24" s="44">
        <v>0.9279448600000004</v>
      </c>
      <c r="D24" s="44">
        <v>-1.08647252</v>
      </c>
      <c r="E24" s="45">
        <v>18.029060999999995</v>
      </c>
      <c r="F24" s="44">
        <v>-31.90341145</v>
      </c>
      <c r="G24" s="44">
        <v>-17.31513072</v>
      </c>
      <c r="H24" s="44">
        <v>-8.739709660000003</v>
      </c>
    </row>
    <row r="25" spans="1:8" ht="15">
      <c r="A25" s="47" t="str">
        <f>HLOOKUP(INDICE!$F$2,Nombres!$C$3:$D$636,50,FALSE)</f>
        <v>Net attributable profit</v>
      </c>
      <c r="B25" s="47">
        <f>+B23+B24</f>
        <v>1.3705851300000162</v>
      </c>
      <c r="C25" s="47">
        <f aca="true" t="shared" si="4" ref="C25:H25">+C23+C24</f>
        <v>-3.818480949999948</v>
      </c>
      <c r="D25" s="47">
        <f t="shared" si="4"/>
        <v>-1.750160680000076</v>
      </c>
      <c r="E25" s="47">
        <f t="shared" si="4"/>
        <v>-27.970208060000015</v>
      </c>
      <c r="F25" s="53">
        <f t="shared" si="4"/>
        <v>59.53464821999997</v>
      </c>
      <c r="G25" s="53">
        <f t="shared" si="4"/>
        <v>50.428654419999944</v>
      </c>
      <c r="H25" s="53">
        <f t="shared" si="4"/>
        <v>7.31657838000001</v>
      </c>
    </row>
    <row r="26" spans="1:8" ht="15">
      <c r="A26" s="65"/>
      <c r="B26" s="66">
        <v>3.197442310920451E-14</v>
      </c>
      <c r="C26" s="66">
        <v>-2.1316282072803006E-14</v>
      </c>
      <c r="D26" s="66">
        <v>-3.8191672047105385E-14</v>
      </c>
      <c r="E26" s="66">
        <v>-3.197442310920451E-14</v>
      </c>
      <c r="F26" s="66">
        <v>0</v>
      </c>
      <c r="G26" s="66">
        <v>0</v>
      </c>
      <c r="H26" s="66">
        <v>1.0658141036401503E-14</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1487.6400000000003</v>
      </c>
      <c r="C31" s="44">
        <v>1681.9580000000003</v>
      </c>
      <c r="D31" s="44">
        <v>1920.447</v>
      </c>
      <c r="E31" s="45">
        <v>2289.578</v>
      </c>
      <c r="F31" s="44">
        <v>2123.2569999999996</v>
      </c>
      <c r="G31" s="44">
        <v>1865.655</v>
      </c>
      <c r="H31" s="44">
        <v>1510.362</v>
      </c>
    </row>
    <row r="32" spans="1:8" ht="15">
      <c r="A32" s="43" t="str">
        <f>HLOOKUP(INDICE!$F$2,Nombres!$C$3:$D$636,53,FALSE)</f>
        <v>Financial assets designated at fair value </v>
      </c>
      <c r="B32" s="60">
        <v>851.922</v>
      </c>
      <c r="C32" s="60">
        <v>806.1929999999999</v>
      </c>
      <c r="D32" s="60">
        <v>735.25</v>
      </c>
      <c r="E32" s="68">
        <v>805.4910000000001</v>
      </c>
      <c r="F32" s="44">
        <v>991.193</v>
      </c>
      <c r="G32" s="44">
        <v>1717.322</v>
      </c>
      <c r="H32" s="44">
        <v>1226.1090000000002</v>
      </c>
    </row>
    <row r="33" spans="1:8" ht="15">
      <c r="A33" s="43" t="str">
        <f>HLOOKUP(INDICE!$F$2,Nombres!$C$3:$D$636,54,FALSE)</f>
        <v>Financial assets at amortized cost</v>
      </c>
      <c r="B33" s="44">
        <v>6129.679000000001</v>
      </c>
      <c r="C33" s="44">
        <v>5388.909999999999</v>
      </c>
      <c r="D33" s="44">
        <v>4295.472999999999</v>
      </c>
      <c r="E33" s="45">
        <v>4634.226000000001</v>
      </c>
      <c r="F33" s="44">
        <v>4387.527</v>
      </c>
      <c r="G33" s="44">
        <v>4120.665</v>
      </c>
      <c r="H33" s="44">
        <v>3516.2899999999995</v>
      </c>
    </row>
    <row r="34" spans="1:8" ht="15">
      <c r="A34" s="43" t="str">
        <f>HLOOKUP(INDICE!$F$2,Nombres!$C$3:$D$636,55,FALSE)</f>
        <v>    of which loans and advances to customers</v>
      </c>
      <c r="B34" s="44">
        <v>5700.068</v>
      </c>
      <c r="C34" s="44">
        <v>5035.988</v>
      </c>
      <c r="D34" s="44">
        <v>3911.423</v>
      </c>
      <c r="E34" s="45">
        <v>4305.525000000001</v>
      </c>
      <c r="F34" s="44">
        <v>3981.7120000000004</v>
      </c>
      <c r="G34" s="44">
        <v>3831.908</v>
      </c>
      <c r="H34" s="44">
        <v>3280.766</v>
      </c>
    </row>
    <row r="35" spans="1:8" ht="15">
      <c r="A35" s="43" t="str">
        <f>HLOOKUP(INDICE!$F$2,Nombres!$C$3:$D$636,56,FALSE)</f>
        <v>Tangible assets</v>
      </c>
      <c r="B35" s="44">
        <v>487.71004524</v>
      </c>
      <c r="C35" s="44">
        <v>408.06822196</v>
      </c>
      <c r="D35" s="44">
        <v>313.683</v>
      </c>
      <c r="E35" s="45">
        <v>390.15875422</v>
      </c>
      <c r="F35" s="44">
        <v>406.92499999999995</v>
      </c>
      <c r="G35" s="44">
        <v>442.01499999999993</v>
      </c>
      <c r="H35" s="44">
        <v>395.43100000000004</v>
      </c>
    </row>
    <row r="36" spans="1:8" ht="15">
      <c r="A36" s="43" t="str">
        <f>HLOOKUP(INDICE!$F$2,Nombres!$C$3:$D$636,57,FALSE)</f>
        <v>Other assets</v>
      </c>
      <c r="B36" s="60">
        <f>+B37-B35-B33-B32-B31</f>
        <v>145.64240008000024</v>
      </c>
      <c r="C36" s="60">
        <f aca="true" t="shared" si="5" ref="C36:H36">+C37-C35-C33-C32-C31</f>
        <v>134.0467413299964</v>
      </c>
      <c r="D36" s="60">
        <f t="shared" si="5"/>
        <v>137.4269999999999</v>
      </c>
      <c r="E36" s="68">
        <f t="shared" si="5"/>
        <v>156.93325170000162</v>
      </c>
      <c r="F36" s="44">
        <f t="shared" si="5"/>
        <v>162.85299999999916</v>
      </c>
      <c r="G36" s="44">
        <f t="shared" si="5"/>
        <v>192.2770000099997</v>
      </c>
      <c r="H36" s="44">
        <f t="shared" si="5"/>
        <v>185.45700000000102</v>
      </c>
    </row>
    <row r="37" spans="1:8" ht="15">
      <c r="A37" s="47" t="str">
        <f>HLOOKUP(INDICE!$F$2,Nombres!$C$3:$D$636,58,FALSE)</f>
        <v>Total assets / Liabilities and equity</v>
      </c>
      <c r="B37" s="47">
        <v>9102.59344532</v>
      </c>
      <c r="C37" s="47">
        <v>8419.175963289996</v>
      </c>
      <c r="D37" s="47">
        <v>7402.279999999999</v>
      </c>
      <c r="E37" s="47">
        <v>8276.387005920002</v>
      </c>
      <c r="F37" s="53">
        <v>8071.754999999999</v>
      </c>
      <c r="G37" s="53">
        <v>8337.93400001</v>
      </c>
      <c r="H37" s="53">
        <v>6833.649000000001</v>
      </c>
    </row>
    <row r="38" spans="1:8" ht="15">
      <c r="A38" s="43" t="str">
        <f>HLOOKUP(INDICE!$F$2,Nombres!$C$3:$D$636,59,FALSE)</f>
        <v>Financial liabilities held for trading and designated at fair value through profit or loss</v>
      </c>
      <c r="B38" s="60">
        <v>30.875999999999998</v>
      </c>
      <c r="C38" s="60">
        <v>74.93199999999999</v>
      </c>
      <c r="D38" s="60">
        <v>127.83</v>
      </c>
      <c r="E38" s="68">
        <v>35.328</v>
      </c>
      <c r="F38" s="44">
        <v>62.144999999999996</v>
      </c>
      <c r="G38" s="44">
        <v>70.654</v>
      </c>
      <c r="H38" s="44">
        <v>65.147</v>
      </c>
    </row>
    <row r="39" spans="1:8" ht="15">
      <c r="A39" s="43" t="str">
        <f>HLOOKUP(INDICE!$F$2,Nombres!$C$3:$D$636,60,FALSE)</f>
        <v>Deposits from central banks and credit institutions</v>
      </c>
      <c r="B39" s="60">
        <v>127.13899999999998</v>
      </c>
      <c r="C39" s="60">
        <v>273.18</v>
      </c>
      <c r="D39" s="60">
        <v>177.445</v>
      </c>
      <c r="E39" s="68">
        <v>178.077</v>
      </c>
      <c r="F39" s="44">
        <v>162.027</v>
      </c>
      <c r="G39" s="44">
        <v>105.424</v>
      </c>
      <c r="H39" s="44">
        <v>200.54</v>
      </c>
    </row>
    <row r="40" spans="1:8" ht="15.75" customHeight="1">
      <c r="A40" s="43" t="str">
        <f>HLOOKUP(INDICE!$F$2,Nombres!$C$3:$D$636,61,FALSE)</f>
        <v>Deposits from customers</v>
      </c>
      <c r="B40" s="60">
        <v>6440.335000000001</v>
      </c>
      <c r="C40" s="60">
        <v>5935.339</v>
      </c>
      <c r="D40" s="60">
        <v>5400.592</v>
      </c>
      <c r="E40" s="68">
        <v>5983.884</v>
      </c>
      <c r="F40" s="44">
        <v>5681.700000000001</v>
      </c>
      <c r="G40" s="44">
        <v>5841.286</v>
      </c>
      <c r="H40" s="44">
        <v>4403.508</v>
      </c>
    </row>
    <row r="41" spans="1:8" ht="15">
      <c r="A41" s="43" t="str">
        <f>HLOOKUP(INDICE!$F$2,Nombres!$C$3:$D$636,62,FALSE)</f>
        <v>Debt certificates</v>
      </c>
      <c r="B41" s="44">
        <v>69.84199999999998</v>
      </c>
      <c r="C41" s="44">
        <v>51.068</v>
      </c>
      <c r="D41" s="44">
        <v>35.958</v>
      </c>
      <c r="E41" s="45">
        <v>54.259</v>
      </c>
      <c r="F41" s="44">
        <v>83.658</v>
      </c>
      <c r="G41" s="44">
        <v>85.98800000000001</v>
      </c>
      <c r="H41" s="44">
        <v>137.787</v>
      </c>
    </row>
    <row r="42" spans="1:8" ht="15">
      <c r="A42" s="43" t="str">
        <f>HLOOKUP(INDICE!$F$2,Nombres!$C$3:$D$636,63,FALSE)</f>
        <v>Other liabilities</v>
      </c>
      <c r="B42" s="60">
        <f>+B37-B38-B39-B40-B41-B43</f>
        <v>1898.85706532</v>
      </c>
      <c r="C42" s="60">
        <f aca="true" t="shared" si="6" ref="C42:H42">+C37-C38-C39-C40-C41-C43</f>
        <v>1557.5046632899944</v>
      </c>
      <c r="D42" s="60">
        <f t="shared" si="6"/>
        <v>1268.0930303799996</v>
      </c>
      <c r="E42" s="68">
        <f t="shared" si="6"/>
        <v>1631.094749120002</v>
      </c>
      <c r="F42" s="44">
        <f t="shared" si="6"/>
        <v>1656.840729999998</v>
      </c>
      <c r="G42" s="44">
        <f t="shared" si="6"/>
        <v>1739.5436700099997</v>
      </c>
      <c r="H42" s="44">
        <f t="shared" si="6"/>
        <v>1641.1631808400016</v>
      </c>
    </row>
    <row r="43" spans="1:8" ht="15">
      <c r="A43" s="43" t="str">
        <f>HLOOKUP(INDICE!$F$2,Nombres!$C$3:$D$636,64,FALSE)</f>
        <v>Economic capital allocated</v>
      </c>
      <c r="B43" s="44">
        <v>535.5443800000003</v>
      </c>
      <c r="C43" s="44">
        <v>527.1523000000002</v>
      </c>
      <c r="D43" s="44">
        <v>392.36196961999997</v>
      </c>
      <c r="E43" s="45">
        <v>393.7442567999999</v>
      </c>
      <c r="F43" s="44">
        <v>425.38427</v>
      </c>
      <c r="G43" s="44">
        <v>495.0383300000001</v>
      </c>
      <c r="H43" s="44">
        <v>385.50381916000003</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Relevant business indicators</v>
      </c>
      <c r="B46" s="34"/>
      <c r="C46" s="34"/>
      <c r="D46" s="34"/>
      <c r="E46" s="34"/>
      <c r="F46" s="72"/>
      <c r="G46" s="72"/>
      <c r="H46" s="72"/>
    </row>
    <row r="47" spans="1:8" ht="15">
      <c r="A47" s="35" t="str">
        <f>HLOOKUP(INDICE!$F$2,Nombres!$C$3:$D$636,32,FALSE)</f>
        <v>(Million euros)</v>
      </c>
      <c r="B47" s="30"/>
      <c r="C47" s="30"/>
      <c r="D47" s="30"/>
      <c r="E47" s="30"/>
      <c r="F47" s="73"/>
      <c r="G47" s="44"/>
      <c r="H47" s="44"/>
    </row>
    <row r="48" spans="1:8"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row>
    <row r="49" spans="1:8" ht="15">
      <c r="A49" s="43" t="str">
        <f>HLOOKUP(INDICE!$F$2,Nombres!$C$3:$D$636,66,FALSE)</f>
        <v>Loans and advances to customers (gross) (*)</v>
      </c>
      <c r="B49" s="44">
        <v>5607.887027410001</v>
      </c>
      <c r="C49" s="44">
        <v>4920.31864849</v>
      </c>
      <c r="D49" s="44">
        <v>3843.13925647</v>
      </c>
      <c r="E49" s="45">
        <v>4307.69318897</v>
      </c>
      <c r="F49" s="44">
        <v>3980.4970172299995</v>
      </c>
      <c r="G49" s="44">
        <v>4004.81999061</v>
      </c>
      <c r="H49" s="44">
        <v>3450.6767045300003</v>
      </c>
    </row>
    <row r="50" spans="1:8" ht="15">
      <c r="A50" s="43" t="str">
        <f>HLOOKUP(INDICE!$F$2,Nombres!$C$3:$D$636,67,FALSE)</f>
        <v>Customer deposits under management (*)</v>
      </c>
      <c r="B50" s="44">
        <v>6436.25075196</v>
      </c>
      <c r="C50" s="44">
        <v>5934.343422629999</v>
      </c>
      <c r="D50" s="44">
        <v>5404.87829244</v>
      </c>
      <c r="E50" s="45">
        <v>5985.9010647</v>
      </c>
      <c r="F50" s="44">
        <v>5683.25962833</v>
      </c>
      <c r="G50" s="44">
        <v>5840.041223629999</v>
      </c>
      <c r="H50" s="44">
        <v>4391.866179029999</v>
      </c>
    </row>
    <row r="51" spans="1:8" ht="15">
      <c r="A51" s="43" t="str">
        <f>HLOOKUP(INDICE!$F$2,Nombres!$C$3:$D$636,68,FALSE)</f>
        <v>Mutual funds</v>
      </c>
      <c r="B51" s="44">
        <v>1765.23822542</v>
      </c>
      <c r="C51" s="44">
        <v>1199.41171831</v>
      </c>
      <c r="D51" s="44">
        <v>782.5987432300002</v>
      </c>
      <c r="E51" s="45">
        <v>783.04067272</v>
      </c>
      <c r="F51" s="44">
        <v>1032.52086625</v>
      </c>
      <c r="G51" s="44">
        <v>1043.01949552</v>
      </c>
      <c r="H51" s="44">
        <v>657.67263491</v>
      </c>
    </row>
    <row r="52" spans="1:8" ht="15">
      <c r="A52" s="43" t="str">
        <f>HLOOKUP(INDICE!$F$2,Nombres!$C$3:$D$636,69,FALSE)</f>
        <v>Pension funds</v>
      </c>
      <c r="B52" s="44" t="s">
        <v>407</v>
      </c>
      <c r="C52" s="44" t="s">
        <v>407</v>
      </c>
      <c r="D52" s="44" t="s">
        <v>407</v>
      </c>
      <c r="E52" s="45" t="s">
        <v>407</v>
      </c>
      <c r="F52" s="44" t="s">
        <v>407</v>
      </c>
      <c r="G52" s="44" t="s">
        <v>407</v>
      </c>
      <c r="H52" s="44" t="s">
        <v>407</v>
      </c>
    </row>
    <row r="53" spans="1:8" ht="15">
      <c r="A53" s="43" t="str">
        <f>HLOOKUP(INDICE!$F$2,Nombres!$C$3:$D$636,70,FALSE)</f>
        <v>Other off balance-sheet funds</v>
      </c>
      <c r="B53" s="44" t="s">
        <v>407</v>
      </c>
      <c r="C53" s="44" t="s">
        <v>407</v>
      </c>
      <c r="D53" s="44" t="s">
        <v>407</v>
      </c>
      <c r="E53" s="45" t="s">
        <v>407</v>
      </c>
      <c r="F53" s="44" t="s">
        <v>407</v>
      </c>
      <c r="G53" s="44" t="s">
        <v>407</v>
      </c>
      <c r="H53" s="44" t="s">
        <v>407</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74.00481343577509</v>
      </c>
      <c r="C62" s="41">
        <v>100.06923407061706</v>
      </c>
      <c r="D62" s="41">
        <v>136.90651882015172</v>
      </c>
      <c r="E62" s="42">
        <v>177.69887319386928</v>
      </c>
      <c r="F62" s="52">
        <v>173.16811353406806</v>
      </c>
      <c r="G62" s="52">
        <v>245.70232914400307</v>
      </c>
      <c r="H62" s="52">
        <v>322.7545573219288</v>
      </c>
    </row>
    <row r="63" spans="1:8" ht="15">
      <c r="A63" s="43" t="str">
        <f>HLOOKUP(INDICE!$F$2,Nombres!$C$3:$D$636,34,FALSE)</f>
        <v>Net fees and commissions</v>
      </c>
      <c r="B63" s="44">
        <v>18.513071962830864</v>
      </c>
      <c r="C63" s="44">
        <v>22.25838877802769</v>
      </c>
      <c r="D63" s="44">
        <v>29.89930934596216</v>
      </c>
      <c r="E63" s="45">
        <v>40.59135860905218</v>
      </c>
      <c r="F63" s="44">
        <v>25.303410280032676</v>
      </c>
      <c r="G63" s="44">
        <v>42.82411256112322</v>
      </c>
      <c r="H63" s="44">
        <v>35.08994467884413</v>
      </c>
    </row>
    <row r="64" spans="1:8" ht="15">
      <c r="A64" s="43" t="str">
        <f>HLOOKUP(INDICE!$F$2,Nombres!$C$3:$D$636,35,FALSE)</f>
        <v>Net trading income</v>
      </c>
      <c r="B64" s="44">
        <v>16.466463659085065</v>
      </c>
      <c r="C64" s="44">
        <v>21.138829072781952</v>
      </c>
      <c r="D64" s="44">
        <v>32.9737542928945</v>
      </c>
      <c r="E64" s="45">
        <v>30.489291144360728</v>
      </c>
      <c r="F64" s="44">
        <v>108.02641289006331</v>
      </c>
      <c r="G64" s="44">
        <v>34.63217152810659</v>
      </c>
      <c r="H64" s="44">
        <v>71.54940104183012</v>
      </c>
    </row>
    <row r="65" spans="1:8" ht="15">
      <c r="A65" s="43" t="str">
        <f>HLOOKUP(INDICE!$F$2,Nombres!$C$3:$D$636,36,FALSE)</f>
        <v>Other operating income and expenses</v>
      </c>
      <c r="B65" s="44">
        <v>-63.9225968422719</v>
      </c>
      <c r="C65" s="44">
        <v>-48.0762477863036</v>
      </c>
      <c r="D65" s="44">
        <v>-48.574193860627815</v>
      </c>
      <c r="E65" s="45">
        <v>-125.68530697653907</v>
      </c>
      <c r="F65" s="44">
        <v>-103.15007346876854</v>
      </c>
      <c r="G65" s="44">
        <v>-104.01560215038184</v>
      </c>
      <c r="H65" s="44">
        <v>-93.4373243808496</v>
      </c>
    </row>
    <row r="66" spans="1:8" ht="15">
      <c r="A66" s="41" t="str">
        <f>HLOOKUP(INDICE!$F$2,Nombres!$C$3:$D$636,37,FALSE)</f>
        <v>Gross income</v>
      </c>
      <c r="B66" s="41">
        <f>+SUM(B62:B65)</f>
        <v>45.06175221541912</v>
      </c>
      <c r="C66" s="41">
        <f aca="true" t="shared" si="9" ref="C66:H66">+SUM(C62:C65)</f>
        <v>95.39020413512311</v>
      </c>
      <c r="D66" s="41">
        <f t="shared" si="9"/>
        <v>151.20538859838058</v>
      </c>
      <c r="E66" s="42">
        <f t="shared" si="9"/>
        <v>123.09421597074311</v>
      </c>
      <c r="F66" s="52">
        <f t="shared" si="9"/>
        <v>203.3478632353955</v>
      </c>
      <c r="G66" s="52">
        <f t="shared" si="9"/>
        <v>219.14301108285105</v>
      </c>
      <c r="H66" s="52">
        <f t="shared" si="9"/>
        <v>335.95657866175344</v>
      </c>
    </row>
    <row r="67" spans="1:8" ht="15">
      <c r="A67" s="43" t="str">
        <f>HLOOKUP(INDICE!$F$2,Nombres!$C$3:$D$636,38,FALSE)</f>
        <v>Operating expenses</v>
      </c>
      <c r="B67" s="44">
        <v>-58.88536931861318</v>
      </c>
      <c r="C67" s="44">
        <v>-69.6202853248042</v>
      </c>
      <c r="D67" s="44">
        <v>-111.4241556000463</v>
      </c>
      <c r="E67" s="45">
        <v>-129.64439078224726</v>
      </c>
      <c r="F67" s="44">
        <v>-83.83982671684308</v>
      </c>
      <c r="G67" s="44">
        <v>-109.35624472439262</v>
      </c>
      <c r="H67" s="44">
        <v>-143.9458558587643</v>
      </c>
    </row>
    <row r="68" spans="1:8" ht="15">
      <c r="A68" s="43" t="str">
        <f>HLOOKUP(INDICE!$F$2,Nombres!$C$3:$D$636,39,FALSE)</f>
        <v>  Administration expenses</v>
      </c>
      <c r="B68" s="44">
        <v>-59.009921156523674</v>
      </c>
      <c r="C68" s="44">
        <v>-68.2481199087386</v>
      </c>
      <c r="D68" s="44">
        <v>-95.05013481688484</v>
      </c>
      <c r="E68" s="45">
        <v>-118.30056350823793</v>
      </c>
      <c r="F68" s="44">
        <v>-75.13453598605797</v>
      </c>
      <c r="G68" s="44">
        <v>-98.17091503179606</v>
      </c>
      <c r="H68" s="44">
        <v>-133.23947628214597</v>
      </c>
    </row>
    <row r="69" spans="1:8" ht="15">
      <c r="A69" s="46" t="str">
        <f>HLOOKUP(INDICE!$F$2,Nombres!$C$3:$D$636,40,FALSE)</f>
        <v>  Personnel expenses</v>
      </c>
      <c r="B69" s="44">
        <v>-33.414342208954935</v>
      </c>
      <c r="C69" s="44">
        <v>-37.749821914171974</v>
      </c>
      <c r="D69" s="44">
        <v>-52.1756491097062</v>
      </c>
      <c r="E69" s="45">
        <v>-64.18627473188636</v>
      </c>
      <c r="F69" s="44">
        <v>-47.088499562816494</v>
      </c>
      <c r="G69" s="44">
        <v>-61.07733917365712</v>
      </c>
      <c r="H69" s="44">
        <v>-74.5931612635264</v>
      </c>
    </row>
    <row r="70" spans="1:8" ht="15">
      <c r="A70" s="46" t="str">
        <f>HLOOKUP(INDICE!$F$2,Nombres!$C$3:$D$636,41,FALSE)</f>
        <v>  General and administrative expenses</v>
      </c>
      <c r="B70" s="44">
        <v>-25.595578947568743</v>
      </c>
      <c r="C70" s="44">
        <v>-30.498297994566617</v>
      </c>
      <c r="D70" s="44">
        <v>-42.87448570717862</v>
      </c>
      <c r="E70" s="45">
        <v>-54.11428877635156</v>
      </c>
      <c r="F70" s="44">
        <v>-28.04603642324147</v>
      </c>
      <c r="G70" s="44">
        <v>-37.09357585813895</v>
      </c>
      <c r="H70" s="44">
        <v>-58.64631501861959</v>
      </c>
    </row>
    <row r="71" spans="1:8" ht="15">
      <c r="A71" s="43" t="str">
        <f>HLOOKUP(INDICE!$F$2,Nombres!$C$3:$D$636,42,FALSE)</f>
        <v>  Depreciation</v>
      </c>
      <c r="B71" s="44">
        <v>0.12455183791049451</v>
      </c>
      <c r="C71" s="44">
        <v>-1.3721654160656112</v>
      </c>
      <c r="D71" s="44">
        <v>-16.374020783161484</v>
      </c>
      <c r="E71" s="45">
        <v>-11.343827274009346</v>
      </c>
      <c r="F71" s="44">
        <v>-8.705290730785128</v>
      </c>
      <c r="G71" s="44">
        <v>-11.185329692596557</v>
      </c>
      <c r="H71" s="44">
        <v>-10.706379576618314</v>
      </c>
    </row>
    <row r="72" spans="1:8" ht="15">
      <c r="A72" s="41" t="str">
        <f>HLOOKUP(INDICE!$F$2,Nombres!$C$3:$D$636,43,FALSE)</f>
        <v>Operating income</v>
      </c>
      <c r="B72" s="41">
        <f>+B66+B67</f>
        <v>-13.82361710319406</v>
      </c>
      <c r="C72" s="41">
        <f aca="true" t="shared" si="10" ref="C72:H72">+C66+C67</f>
        <v>25.769918810318913</v>
      </c>
      <c r="D72" s="41">
        <f t="shared" si="10"/>
        <v>39.781232998334275</v>
      </c>
      <c r="E72" s="42">
        <f t="shared" si="10"/>
        <v>-6.550174811504149</v>
      </c>
      <c r="F72" s="52">
        <f t="shared" si="10"/>
        <v>119.50803651855242</v>
      </c>
      <c r="G72" s="52">
        <f t="shared" si="10"/>
        <v>109.78676635845842</v>
      </c>
      <c r="H72" s="52">
        <f t="shared" si="10"/>
        <v>192.01072280298914</v>
      </c>
    </row>
    <row r="73" spans="1:8" ht="15">
      <c r="A73" s="43" t="str">
        <f>HLOOKUP(INDICE!$F$2,Nombres!$C$3:$D$636,44,FALSE)</f>
        <v>Impaiment on financial assets not measured at fair value through profit or loss</v>
      </c>
      <c r="B73" s="44">
        <v>-6.243028579117931</v>
      </c>
      <c r="C73" s="44">
        <v>-11.287227447696049</v>
      </c>
      <c r="D73" s="44">
        <v>-19.010836390665993</v>
      </c>
      <c r="E73" s="45">
        <v>-23.953190517879563</v>
      </c>
      <c r="F73" s="44">
        <v>-18.312597787032765</v>
      </c>
      <c r="G73" s="44">
        <v>-33.028029962134866</v>
      </c>
      <c r="H73" s="44">
        <v>-116.81237225083237</v>
      </c>
    </row>
    <row r="74" spans="1:8" ht="15">
      <c r="A74" s="43" t="str">
        <f>HLOOKUP(INDICE!$F$2,Nombres!$C$3:$D$636,45,FALSE)</f>
        <v>Provisions or reversal of provisions and other results</v>
      </c>
      <c r="B74" s="44">
        <v>-3.2202906415150285</v>
      </c>
      <c r="C74" s="44">
        <v>-5.152525422213173</v>
      </c>
      <c r="D74" s="44">
        <v>-5.49381707571489</v>
      </c>
      <c r="E74" s="45">
        <v>-5.987002685079984</v>
      </c>
      <c r="F74" s="44">
        <v>-4.094045924956979</v>
      </c>
      <c r="G74" s="44">
        <v>-8.628040232987836</v>
      </c>
      <c r="H74" s="44">
        <v>-17.666913842055184</v>
      </c>
    </row>
    <row r="75" spans="1:8" ht="15">
      <c r="A75" s="41" t="str">
        <f>HLOOKUP(INDICE!$F$2,Nombres!$C$3:$D$636,46,FALSE)</f>
        <v>Profit/(loss) before tax</v>
      </c>
      <c r="B75" s="41">
        <f>+B72+B73+B74</f>
        <v>-23.28693632382702</v>
      </c>
      <c r="C75" s="41">
        <f aca="true" t="shared" si="11" ref="C75:H75">+C72+C73+C74</f>
        <v>9.330165940409692</v>
      </c>
      <c r="D75" s="41">
        <f t="shared" si="11"/>
        <v>15.276579531953391</v>
      </c>
      <c r="E75" s="42">
        <f t="shared" si="11"/>
        <v>-36.4903680144637</v>
      </c>
      <c r="F75" s="52">
        <f t="shared" si="11"/>
        <v>97.10139280656269</v>
      </c>
      <c r="G75" s="52">
        <f t="shared" si="11"/>
        <v>68.13069616333573</v>
      </c>
      <c r="H75" s="52">
        <f t="shared" si="11"/>
        <v>57.53143671010159</v>
      </c>
    </row>
    <row r="76" spans="1:8" ht="15">
      <c r="A76" s="43" t="str">
        <f>HLOOKUP(INDICE!$F$2,Nombres!$C$3:$D$636,47,FALSE)</f>
        <v>Income tax</v>
      </c>
      <c r="B76" s="44">
        <v>-19.292398507164005</v>
      </c>
      <c r="C76" s="44">
        <v>-29.496453135261973</v>
      </c>
      <c r="D76" s="44">
        <v>-5.792010424678324</v>
      </c>
      <c r="E76" s="45">
        <v>-38.39071010208504</v>
      </c>
      <c r="F76" s="44">
        <v>-40.65168162576802</v>
      </c>
      <c r="G76" s="44">
        <v>-30.412195048517646</v>
      </c>
      <c r="H76" s="44">
        <v>23.53848384428565</v>
      </c>
    </row>
    <row r="77" spans="1:8" ht="15">
      <c r="A77" s="41" t="str">
        <f>HLOOKUP(INDICE!$F$2,Nombres!$C$3:$D$636,48,FALSE)</f>
        <v>Profit/(loss) for the year</v>
      </c>
      <c r="B77" s="41">
        <f>+B75+B76</f>
        <v>-42.57933483099103</v>
      </c>
      <c r="C77" s="41">
        <f aca="true" t="shared" si="12" ref="C77:H77">+C75+C76</f>
        <v>-20.16628719485228</v>
      </c>
      <c r="D77" s="41">
        <f t="shared" si="12"/>
        <v>9.484569107275068</v>
      </c>
      <c r="E77" s="42">
        <f t="shared" si="12"/>
        <v>-74.88107811654874</v>
      </c>
      <c r="F77" s="52">
        <f t="shared" si="12"/>
        <v>56.449711180794665</v>
      </c>
      <c r="G77" s="52">
        <f t="shared" si="12"/>
        <v>37.71850111481808</v>
      </c>
      <c r="H77" s="52">
        <f t="shared" si="12"/>
        <v>81.06992055438724</v>
      </c>
    </row>
    <row r="78" spans="1:8" ht="15">
      <c r="A78" s="43" t="str">
        <f>HLOOKUP(INDICE!$F$2,Nombres!$C$3:$D$636,49,FALSE)</f>
        <v>Non-controlling interests</v>
      </c>
      <c r="B78" s="44">
        <v>13.948694700046294</v>
      </c>
      <c r="C78" s="44">
        <v>6.230156418892861</v>
      </c>
      <c r="D78" s="44">
        <v>-4.019826160821947</v>
      </c>
      <c r="E78" s="45">
        <v>25.723478532065812</v>
      </c>
      <c r="F78" s="44">
        <v>-20.282293968779072</v>
      </c>
      <c r="G78" s="44">
        <v>-8.553852985663314</v>
      </c>
      <c r="H78" s="44">
        <v>-29.122104875557625</v>
      </c>
    </row>
    <row r="79" spans="1:8" ht="15">
      <c r="A79" s="47" t="str">
        <f>HLOOKUP(INDICE!$F$2,Nombres!$C$3:$D$636,50,FALSE)</f>
        <v>Net attributable profit</v>
      </c>
      <c r="B79" s="47">
        <f>+B77+B78</f>
        <v>-28.630640130944734</v>
      </c>
      <c r="C79" s="47">
        <f aca="true" t="shared" si="13" ref="C79:H79">+C77+C78</f>
        <v>-13.93613077595942</v>
      </c>
      <c r="D79" s="47">
        <f t="shared" si="13"/>
        <v>5.4647429464531205</v>
      </c>
      <c r="E79" s="47">
        <f t="shared" si="13"/>
        <v>-49.157599584482924</v>
      </c>
      <c r="F79" s="53">
        <f t="shared" si="13"/>
        <v>36.16741721201559</v>
      </c>
      <c r="G79" s="53">
        <f t="shared" si="13"/>
        <v>29.16464812915477</v>
      </c>
      <c r="H79" s="53">
        <f t="shared" si="13"/>
        <v>51.94781567882961</v>
      </c>
    </row>
    <row r="80" spans="1:8" ht="15">
      <c r="A80" s="65"/>
      <c r="B80" s="66">
        <v>0</v>
      </c>
      <c r="C80" s="66">
        <v>0</v>
      </c>
      <c r="D80" s="66">
        <v>2.7533531010703882E-14</v>
      </c>
      <c r="E80" s="66">
        <v>0</v>
      </c>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591.5667867902918</v>
      </c>
      <c r="C85" s="44">
        <v>873.7704934691141</v>
      </c>
      <c r="D85" s="44">
        <v>1407.334934083326</v>
      </c>
      <c r="E85" s="45">
        <v>1588.0648173385905</v>
      </c>
      <c r="F85" s="44">
        <v>1666.0470852391445</v>
      </c>
      <c r="G85" s="44">
        <v>1457.4084076756326</v>
      </c>
      <c r="H85" s="44">
        <v>1510.362</v>
      </c>
    </row>
    <row r="86" spans="1:8" ht="15">
      <c r="A86" s="43" t="str">
        <f>HLOOKUP(INDICE!$F$2,Nombres!$C$3:$D$636,53,FALSE)</f>
        <v>Financial assets designated at fair value </v>
      </c>
      <c r="B86" s="60">
        <v>338.7706435266321</v>
      </c>
      <c r="C86" s="60">
        <v>418.81405804505545</v>
      </c>
      <c r="D86" s="60">
        <v>538.8032110674053</v>
      </c>
      <c r="E86" s="68">
        <v>558.6933128213491</v>
      </c>
      <c r="F86" s="44">
        <v>777.7552168952902</v>
      </c>
      <c r="G86" s="44">
        <v>1341.5339499995082</v>
      </c>
      <c r="H86" s="44">
        <v>1226.1090000000002</v>
      </c>
    </row>
    <row r="87" spans="1:8" ht="15">
      <c r="A87" s="43" t="str">
        <f>HLOOKUP(INDICE!$F$2,Nombres!$C$3:$D$636,54,FALSE)</f>
        <v>Financial assets at amortized cost</v>
      </c>
      <c r="B87" s="44">
        <v>2437.4946291346896</v>
      </c>
      <c r="C87" s="44">
        <v>2799.517318482771</v>
      </c>
      <c r="D87" s="44">
        <v>3147.7927853836654</v>
      </c>
      <c r="E87" s="45">
        <v>3214.326511783284</v>
      </c>
      <c r="F87" s="44">
        <v>3442.742244465954</v>
      </c>
      <c r="G87" s="44">
        <v>3218.9723267242393</v>
      </c>
      <c r="H87" s="44">
        <v>3516.2899999999995</v>
      </c>
    </row>
    <row r="88" spans="1:8" ht="15">
      <c r="A88" s="43" t="str">
        <f>HLOOKUP(INDICE!$F$2,Nombres!$C$3:$D$636,55,FALSE)</f>
        <v>    of which loans and advances to customers</v>
      </c>
      <c r="B88" s="44">
        <v>2266.6578683325033</v>
      </c>
      <c r="C88" s="44">
        <v>2616.1757427144653</v>
      </c>
      <c r="D88" s="44">
        <v>2866.35467153064</v>
      </c>
      <c r="E88" s="45">
        <v>2986.3375576947956</v>
      </c>
      <c r="F88" s="44">
        <v>3124.313105696449</v>
      </c>
      <c r="G88" s="44">
        <v>2993.401747182367</v>
      </c>
      <c r="H88" s="44">
        <v>3280.766</v>
      </c>
    </row>
    <row r="89" spans="1:8" ht="15">
      <c r="A89" s="43" t="str">
        <f>HLOOKUP(INDICE!$F$2,Nombres!$C$3:$D$636,56,FALSE)</f>
        <v>Tangible assets</v>
      </c>
      <c r="B89" s="44">
        <v>368.5028652365938</v>
      </c>
      <c r="C89" s="44">
        <v>332.53011390278664</v>
      </c>
      <c r="D89" s="44">
        <v>273.1557802983165</v>
      </c>
      <c r="E89" s="45">
        <v>348.834870781483</v>
      </c>
      <c r="F89" s="44">
        <v>373.70075649947245</v>
      </c>
      <c r="G89" s="44">
        <v>406.8972064098814</v>
      </c>
      <c r="H89" s="44">
        <v>395.43100000000004</v>
      </c>
    </row>
    <row r="90" spans="1:8" ht="15">
      <c r="A90" s="43" t="str">
        <f>HLOOKUP(INDICE!$F$2,Nombres!$C$3:$D$636,57,FALSE)</f>
        <v>Other assets</v>
      </c>
      <c r="B90" s="60">
        <f>+B91-B89-B87-B86-B85</f>
        <v>32.37757233242803</v>
      </c>
      <c r="C90" s="60">
        <f aca="true" t="shared" si="15" ref="C90:H90">+C91-C89-C87-C86-C85</f>
        <v>54.27683475581</v>
      </c>
      <c r="D90" s="60">
        <f t="shared" si="15"/>
        <v>100.70875061184597</v>
      </c>
      <c r="E90" s="68">
        <f t="shared" si="15"/>
        <v>101.85876267928984</v>
      </c>
      <c r="F90" s="44">
        <f t="shared" si="15"/>
        <v>123.57905950036138</v>
      </c>
      <c r="G90" s="44">
        <f t="shared" si="15"/>
        <v>146.04772961710682</v>
      </c>
      <c r="H90" s="44">
        <f t="shared" si="15"/>
        <v>185.45700000000102</v>
      </c>
    </row>
    <row r="91" spans="1:8" ht="15">
      <c r="A91" s="47" t="str">
        <f>HLOOKUP(INDICE!$F$2,Nombres!$C$3:$D$636,58,FALSE)</f>
        <v>Total assets / Liabilities and equity</v>
      </c>
      <c r="B91" s="47">
        <v>3768.712497020635</v>
      </c>
      <c r="C91" s="47">
        <v>4478.908818655537</v>
      </c>
      <c r="D91" s="47">
        <v>5467.795461444559</v>
      </c>
      <c r="E91" s="47">
        <v>5811.778275403996</v>
      </c>
      <c r="F91" s="53">
        <v>6383.824362600223</v>
      </c>
      <c r="G91" s="53">
        <v>6570.859620426369</v>
      </c>
      <c r="H91" s="53">
        <v>6833.649000000001</v>
      </c>
    </row>
    <row r="92" spans="1:8" ht="15">
      <c r="A92" s="43" t="str">
        <f>HLOOKUP(INDICE!$F$2,Nombres!$C$3:$D$636,59,FALSE)</f>
        <v>Financial liabilities held for trading and designated at fair value through profit or loss</v>
      </c>
      <c r="B92" s="60">
        <v>12.277981305246596</v>
      </c>
      <c r="C92" s="60">
        <v>38.92687606743311</v>
      </c>
      <c r="D92" s="60">
        <v>93.67591223494922</v>
      </c>
      <c r="E92" s="68">
        <v>24.503709359077405</v>
      </c>
      <c r="F92" s="44">
        <v>48.76305417205107</v>
      </c>
      <c r="G92" s="44">
        <v>55.19334155345664</v>
      </c>
      <c r="H92" s="44">
        <v>65.147</v>
      </c>
    </row>
    <row r="93" spans="1:8" ht="15">
      <c r="A93" s="43" t="str">
        <f>HLOOKUP(INDICE!$F$2,Nombres!$C$3:$D$636,60,FALSE)</f>
        <v>Deposits from central banks and credit institutions</v>
      </c>
      <c r="B93" s="60">
        <v>50.55739944188842</v>
      </c>
      <c r="C93" s="60">
        <v>141.91592382562027</v>
      </c>
      <c r="D93" s="60">
        <v>130.03459474716865</v>
      </c>
      <c r="E93" s="68">
        <v>123.51525847872585</v>
      </c>
      <c r="F93" s="44">
        <v>127.13704044307536</v>
      </c>
      <c r="G93" s="44">
        <v>82.35489625402117</v>
      </c>
      <c r="H93" s="44">
        <v>200.54</v>
      </c>
    </row>
    <row r="94" spans="1:8" ht="15">
      <c r="A94" s="43" t="str">
        <f>HLOOKUP(INDICE!$F$2,Nombres!$C$3:$D$636,61,FALSE)</f>
        <v>Deposits from customers</v>
      </c>
      <c r="B94" s="60">
        <v>2561.0283951783053</v>
      </c>
      <c r="C94" s="60">
        <v>3083.3850113596645</v>
      </c>
      <c r="D94" s="60">
        <v>3957.642041842829</v>
      </c>
      <c r="E94" s="68">
        <v>4150.457268298051</v>
      </c>
      <c r="F94" s="44">
        <v>4458.235495845885</v>
      </c>
      <c r="G94" s="44">
        <v>4563.083382532122</v>
      </c>
      <c r="H94" s="44">
        <v>4403.508</v>
      </c>
    </row>
    <row r="95" spans="1:8" ht="15">
      <c r="A95" s="43" t="str">
        <f>HLOOKUP(INDICE!$F$2,Nombres!$C$3:$D$636,62,FALSE)</f>
        <v>Debt certificates</v>
      </c>
      <c r="B95" s="44">
        <v>27.77298776787903</v>
      </c>
      <c r="C95" s="44">
        <v>26.5296229516318</v>
      </c>
      <c r="D95" s="44">
        <v>26.35060981103265</v>
      </c>
      <c r="E95" s="45">
        <v>37.63436271835884</v>
      </c>
      <c r="F95" s="44">
        <v>65.64356884585162</v>
      </c>
      <c r="G95" s="44">
        <v>67.1719230828917</v>
      </c>
      <c r="H95" s="44">
        <v>137.787</v>
      </c>
    </row>
    <row r="96" spans="1:8" ht="15">
      <c r="A96" s="43" t="str">
        <f>HLOOKUP(INDICE!$F$2,Nombres!$C$3:$D$636,63,FALSE)</f>
        <v>Other liabilities</v>
      </c>
      <c r="B96" s="60">
        <f>+B91-B92-B93-B94-B95-B97</f>
        <v>904.1140839630885</v>
      </c>
      <c r="C96" s="60">
        <f aca="true" t="shared" si="16" ref="C96:H96">+C91-C92-C93-C94-C95-C97</f>
        <v>914.2978605793792</v>
      </c>
      <c r="D96" s="60">
        <f t="shared" si="16"/>
        <v>972.5630418334174</v>
      </c>
      <c r="E96" s="68">
        <f t="shared" si="16"/>
        <v>1202.564335561527</v>
      </c>
      <c r="F96" s="44">
        <f t="shared" si="16"/>
        <v>1350.2607282439044</v>
      </c>
      <c r="G96" s="44">
        <f t="shared" si="16"/>
        <v>1416.3430865186563</v>
      </c>
      <c r="H96" s="44">
        <f t="shared" si="16"/>
        <v>1641.1631808400016</v>
      </c>
    </row>
    <row r="97" spans="1:8" ht="15">
      <c r="A97" s="43" t="str">
        <f>HLOOKUP(INDICE!$F$2,Nombres!$C$3:$D$636,64,FALSE)</f>
        <v>Economic capital allocated</v>
      </c>
      <c r="B97" s="44">
        <v>212.96164936422738</v>
      </c>
      <c r="C97" s="44">
        <v>273.853523871808</v>
      </c>
      <c r="D97" s="44">
        <v>287.5292609751618</v>
      </c>
      <c r="E97" s="45">
        <v>273.1033409882568</v>
      </c>
      <c r="F97" s="44">
        <v>333.7844750494553</v>
      </c>
      <c r="G97" s="44">
        <v>386.7129904852207</v>
      </c>
      <c r="H97" s="44">
        <v>385.50381916000003</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2230.0016868919192</v>
      </c>
      <c r="C103" s="44">
        <v>2556.085974510892</v>
      </c>
      <c r="D103" s="44">
        <v>2816.3152287864486</v>
      </c>
      <c r="E103" s="45">
        <v>2987.841426364306</v>
      </c>
      <c r="F103" s="44">
        <v>3123.359750307735</v>
      </c>
      <c r="G103" s="44">
        <v>3128.476768503535</v>
      </c>
      <c r="H103" s="44">
        <v>3450.6767045300003</v>
      </c>
    </row>
    <row r="104" spans="1:8" ht="15">
      <c r="A104" s="43" t="str">
        <f>HLOOKUP(INDICE!$F$2,Nombres!$C$3:$D$636,67,FALSE)</f>
        <v>Customer deposits under management (*)</v>
      </c>
      <c r="B104" s="44">
        <v>2559.4042754386655</v>
      </c>
      <c r="C104" s="44">
        <v>3082.867812874404</v>
      </c>
      <c r="D104" s="44">
        <v>3960.7831069638714</v>
      </c>
      <c r="E104" s="45">
        <v>4151.8563162817245</v>
      </c>
      <c r="F104" s="44">
        <v>4459.459282807734</v>
      </c>
      <c r="G104" s="44">
        <v>4562.110990773027</v>
      </c>
      <c r="H104" s="44">
        <v>4391.866179029999</v>
      </c>
    </row>
    <row r="105" spans="1:8" ht="15">
      <c r="A105" s="43" t="str">
        <f>HLOOKUP(INDICE!$F$2,Nombres!$C$3:$D$636,68,FALSE)</f>
        <v>Mutual funds</v>
      </c>
      <c r="B105" s="44">
        <v>701.9549789808732</v>
      </c>
      <c r="C105" s="44">
        <v>623.0896187540751</v>
      </c>
      <c r="D105" s="44">
        <v>573.5011435969259</v>
      </c>
      <c r="E105" s="45">
        <v>543.1216332842882</v>
      </c>
      <c r="F105" s="44">
        <v>810.1837788192429</v>
      </c>
      <c r="G105" s="44">
        <v>814.7837526983525</v>
      </c>
      <c r="H105" s="44">
        <v>657.67263491</v>
      </c>
    </row>
    <row r="106" spans="1:8" ht="15">
      <c r="A106" s="43" t="str">
        <f>HLOOKUP(INDICE!$F$2,Nombres!$C$3:$D$636,69,FALSE)</f>
        <v>Pension funds</v>
      </c>
      <c r="B106" s="44" t="s">
        <v>407</v>
      </c>
      <c r="C106" s="44" t="s">
        <v>407</v>
      </c>
      <c r="D106" s="44" t="s">
        <v>407</v>
      </c>
      <c r="E106" s="45" t="s">
        <v>407</v>
      </c>
      <c r="F106" s="44" t="s">
        <v>407</v>
      </c>
      <c r="G106" s="44" t="s">
        <v>407</v>
      </c>
      <c r="H106" s="44" t="s">
        <v>407</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HLOOKUP(INDICE!$F$2,Nombres!$C$3:$D$636,78,FALSE)</f>
        <v>(Million Argentinian pesos)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77">
        <f>+F$6</f>
        <v>2019</v>
      </c>
      <c r="G114" s="277"/>
      <c r="H114" s="277"/>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4465.15806934379</v>
      </c>
      <c r="C116" s="41">
        <v>5808.485213841477</v>
      </c>
      <c r="D116" s="41">
        <v>8323.685659368697</v>
      </c>
      <c r="E116" s="42">
        <v>9783.926468701447</v>
      </c>
      <c r="F116" s="52">
        <v>10715.519182118196</v>
      </c>
      <c r="G116" s="52">
        <v>14951.564631993064</v>
      </c>
      <c r="H116" s="52">
        <v>20619.97659392892</v>
      </c>
    </row>
    <row r="117" spans="1:8" ht="15">
      <c r="A117" s="43" t="str">
        <f>HLOOKUP(INDICE!$F$2,Nombres!$C$3:$D$636,34,FALSE)</f>
        <v>Net fees and commissions</v>
      </c>
      <c r="B117" s="44">
        <v>1116.4747979747835</v>
      </c>
      <c r="C117" s="44">
        <v>1279.622755685809</v>
      </c>
      <c r="D117" s="44">
        <v>1842.3691239830218</v>
      </c>
      <c r="E117" s="45">
        <v>2223.028408503572</v>
      </c>
      <c r="F117" s="44">
        <v>1566.7240643140103</v>
      </c>
      <c r="G117" s="44">
        <v>2619.4101025681334</v>
      </c>
      <c r="H117" s="44">
        <v>2255.9803172077486</v>
      </c>
    </row>
    <row r="118" spans="1:8" ht="15">
      <c r="A118" s="43" t="str">
        <f>HLOOKUP(INDICE!$F$2,Nombres!$C$3:$D$636,35,FALSE)</f>
        <v>Net trading income</v>
      </c>
      <c r="B118" s="44">
        <v>994.2747369204803</v>
      </c>
      <c r="C118" s="44">
        <v>1237.3163800628538</v>
      </c>
      <c r="D118" s="44">
        <v>1998.425473759439</v>
      </c>
      <c r="E118" s="45">
        <v>1616.2742638026818</v>
      </c>
      <c r="F118" s="44">
        <v>6695.467269071129</v>
      </c>
      <c r="G118" s="44">
        <v>1981.2665703263228</v>
      </c>
      <c r="H118" s="44">
        <v>4692.634726753385</v>
      </c>
    </row>
    <row r="119" spans="1:8" ht="15">
      <c r="A119" s="43" t="str">
        <f>HLOOKUP(INDICE!$F$2,Nombres!$C$3:$D$636,36,FALSE)</f>
        <v>Other operating income and expenses</v>
      </c>
      <c r="B119" s="44">
        <v>-1368.1482937059468</v>
      </c>
      <c r="C119" s="44">
        <v>-1846.7066810038648</v>
      </c>
      <c r="D119" s="44">
        <v>-3812.9990318763566</v>
      </c>
      <c r="E119" s="45">
        <v>-4886.734738002576</v>
      </c>
      <c r="F119" s="44">
        <v>-5330.212073246537</v>
      </c>
      <c r="G119" s="44">
        <v>-5148.260086438676</v>
      </c>
      <c r="H119" s="44">
        <v>-8283.070695313068</v>
      </c>
    </row>
    <row r="120" spans="1:8" ht="15">
      <c r="A120" s="41" t="str">
        <f>HLOOKUP(INDICE!$F$2,Nombres!$C$3:$D$636,37,FALSE)</f>
        <v>Gross income</v>
      </c>
      <c r="B120" s="41">
        <f>+SUM(B116:B119)</f>
        <v>5207.759310533107</v>
      </c>
      <c r="C120" s="41">
        <f aca="true" t="shared" si="19" ref="C120:H120">+SUM(C116:C119)</f>
        <v>6478.717668586274</v>
      </c>
      <c r="D120" s="41">
        <f t="shared" si="19"/>
        <v>8351.481225234802</v>
      </c>
      <c r="E120" s="42">
        <f t="shared" si="19"/>
        <v>8736.494403005123</v>
      </c>
      <c r="F120" s="52">
        <f t="shared" si="19"/>
        <v>13647.498442256798</v>
      </c>
      <c r="G120" s="52">
        <f t="shared" si="19"/>
        <v>14403.981218448844</v>
      </c>
      <c r="H120" s="52">
        <f t="shared" si="19"/>
        <v>19285.520942576986</v>
      </c>
    </row>
    <row r="121" spans="1:8" ht="15">
      <c r="A121" s="43" t="str">
        <f>HLOOKUP(INDICE!$F$2,Nombres!$C$3:$D$636,38,FALSE)</f>
        <v>Operating expenses</v>
      </c>
      <c r="B121" s="44">
        <v>-3674.656360567855</v>
      </c>
      <c r="C121" s="44">
        <v>-4051.0916158928158</v>
      </c>
      <c r="D121" s="44">
        <v>-6484.153193041707</v>
      </c>
      <c r="E121" s="45">
        <v>-7003.342642185937</v>
      </c>
      <c r="F121" s="44">
        <v>-5137.827200281208</v>
      </c>
      <c r="G121" s="44">
        <v>-6575.298814263201</v>
      </c>
      <c r="H121" s="44">
        <v>-9328.921860079816</v>
      </c>
    </row>
    <row r="122" spans="1:8" ht="15">
      <c r="A122" s="43" t="str">
        <f>HLOOKUP(INDICE!$F$2,Nombres!$C$3:$D$636,39,FALSE)</f>
        <v>  Administration expenses</v>
      </c>
      <c r="B122" s="44">
        <v>-3571.6399002283324</v>
      </c>
      <c r="C122" s="44">
        <v>-3941.9888145113077</v>
      </c>
      <c r="D122" s="44">
        <v>-5730.072308403425</v>
      </c>
      <c r="E122" s="45">
        <v>-6458.157507159967</v>
      </c>
      <c r="F122" s="44">
        <v>-4637.123516520125</v>
      </c>
      <c r="G122" s="44">
        <v>-5947.4548887954925</v>
      </c>
      <c r="H122" s="44">
        <v>-8547.818112754008</v>
      </c>
    </row>
    <row r="123" spans="1:8" ht="15">
      <c r="A123" s="46" t="str">
        <f>HLOOKUP(INDICE!$F$2,Nombres!$C$3:$D$636,40,FALSE)</f>
        <v>  Personnel expenses</v>
      </c>
      <c r="B123" s="44">
        <v>-2014.2078400178696</v>
      </c>
      <c r="C123" s="44">
        <v>-2164.6261603712105</v>
      </c>
      <c r="D123" s="44">
        <v>-3174.0291536540963</v>
      </c>
      <c r="E123" s="45">
        <v>-3475.751564571544</v>
      </c>
      <c r="F123" s="44">
        <v>-2909.1158277362965</v>
      </c>
      <c r="G123" s="44">
        <v>-3703.080060110924</v>
      </c>
      <c r="H123" s="44">
        <v>-4794.346331081504</v>
      </c>
    </row>
    <row r="124" spans="1:8" ht="15">
      <c r="A124" s="46" t="str">
        <f>HLOOKUP(INDICE!$F$2,Nombres!$C$3:$D$636,41,FALSE)</f>
        <v>  General and administrative expenses</v>
      </c>
      <c r="B124" s="44">
        <v>-1557.4320602104635</v>
      </c>
      <c r="C124" s="44">
        <v>-1777.3626541400972</v>
      </c>
      <c r="D124" s="44">
        <v>-2556.043154749329</v>
      </c>
      <c r="E124" s="45">
        <v>-2982.405942588423</v>
      </c>
      <c r="F124" s="44">
        <v>-1728.0076887838281</v>
      </c>
      <c r="G124" s="44">
        <v>-2244.3748286845675</v>
      </c>
      <c r="H124" s="44">
        <v>-3753.4717816725047</v>
      </c>
    </row>
    <row r="125" spans="1:8" ht="15">
      <c r="A125" s="43" t="str">
        <f>HLOOKUP(INDICE!$F$2,Nombres!$C$3:$D$636,42,FALSE)</f>
        <v>  Depreciation</v>
      </c>
      <c r="B125" s="44">
        <v>-103.0164603395215</v>
      </c>
      <c r="C125" s="44">
        <v>-109.10280138150827</v>
      </c>
      <c r="D125" s="44">
        <v>-754.0808846382823</v>
      </c>
      <c r="E125" s="45">
        <v>-545.1851350259694</v>
      </c>
      <c r="F125" s="44">
        <v>-500.70368376108377</v>
      </c>
      <c r="G125" s="44">
        <v>-627.8439254677089</v>
      </c>
      <c r="H125" s="44">
        <v>-781.1037473258076</v>
      </c>
    </row>
    <row r="126" spans="1:8" ht="15">
      <c r="A126" s="41" t="str">
        <f>HLOOKUP(INDICE!$F$2,Nombres!$C$3:$D$636,43,FALSE)</f>
        <v>Operating income</v>
      </c>
      <c r="B126" s="41">
        <f>+B120+B121</f>
        <v>1533.1029499652523</v>
      </c>
      <c r="C126" s="41">
        <f aca="true" t="shared" si="20" ref="C126:H126">+C120+C121</f>
        <v>2427.6260526934584</v>
      </c>
      <c r="D126" s="41">
        <f t="shared" si="20"/>
        <v>1867.3280321930952</v>
      </c>
      <c r="E126" s="42">
        <f t="shared" si="20"/>
        <v>1733.1517608191862</v>
      </c>
      <c r="F126" s="52">
        <f t="shared" si="20"/>
        <v>8509.67124197559</v>
      </c>
      <c r="G126" s="52">
        <f t="shared" si="20"/>
        <v>7828.682404185643</v>
      </c>
      <c r="H126" s="52">
        <f t="shared" si="20"/>
        <v>9956.59908249717</v>
      </c>
    </row>
    <row r="127" spans="1:8" ht="15">
      <c r="A127" s="43" t="str">
        <f>HLOOKUP(INDICE!$F$2,Nombres!$C$3:$D$636,44,FALSE)</f>
        <v>Impaiment on financial assets not measured at fair value through profit or loss</v>
      </c>
      <c r="B127" s="44">
        <v>-376.7624391938846</v>
      </c>
      <c r="C127" s="44">
        <v>-652.0064979697232</v>
      </c>
      <c r="D127" s="44">
        <v>-1152.9910340219024</v>
      </c>
      <c r="E127" s="45">
        <v>-1326.1188171261786</v>
      </c>
      <c r="F127" s="44">
        <v>-1132.9008525474514</v>
      </c>
      <c r="G127" s="44">
        <v>-2018.422201088138</v>
      </c>
      <c r="H127" s="44">
        <v>-7343.614507521574</v>
      </c>
    </row>
    <row r="128" spans="1:8" ht="15">
      <c r="A128" s="43" t="str">
        <f>HLOOKUP(INDICE!$F$2,Nombres!$C$3:$D$636,45,FALSE)</f>
        <v>Provisions or reversal of provisions and other results</v>
      </c>
      <c r="B128" s="44">
        <v>-198.9707639233594</v>
      </c>
      <c r="C128" s="44">
        <v>-272.63246446649845</v>
      </c>
      <c r="D128" s="44">
        <v>-377.5552055655021</v>
      </c>
      <c r="E128" s="45">
        <v>-337.42165262472645</v>
      </c>
      <c r="F128" s="44">
        <v>-254.80841809555153</v>
      </c>
      <c r="G128" s="44">
        <v>-530.7430175070881</v>
      </c>
      <c r="H128" s="44">
        <v>-1111.1180115437392</v>
      </c>
    </row>
    <row r="129" spans="1:8" ht="15">
      <c r="A129" s="41" t="str">
        <f>HLOOKUP(INDICE!$F$2,Nombres!$C$3:$D$636,46,FALSE)</f>
        <v>Profit/(loss) before tax</v>
      </c>
      <c r="B129" s="41">
        <f>+B126+B127+B128</f>
        <v>957.3697468480083</v>
      </c>
      <c r="C129" s="41">
        <f aca="true" t="shared" si="21" ref="C129:H129">+C126+C127+C128</f>
        <v>1502.9870902572368</v>
      </c>
      <c r="D129" s="41">
        <f t="shared" si="21"/>
        <v>336.7817926056907</v>
      </c>
      <c r="E129" s="42">
        <f t="shared" si="21"/>
        <v>69.61129106828116</v>
      </c>
      <c r="F129" s="52">
        <f t="shared" si="21"/>
        <v>7121.961971332587</v>
      </c>
      <c r="G129" s="52">
        <f t="shared" si="21"/>
        <v>5279.517185590417</v>
      </c>
      <c r="H129" s="52">
        <f t="shared" si="21"/>
        <v>1501.8665634318577</v>
      </c>
    </row>
    <row r="130" spans="1:8" ht="15">
      <c r="A130" s="43" t="str">
        <f>HLOOKUP(INDICE!$F$2,Nombres!$C$3:$D$636,47,FALSE)</f>
        <v>Income tax</v>
      </c>
      <c r="B130" s="44">
        <v>-931.1504114960787</v>
      </c>
      <c r="C130" s="44">
        <v>-1648.8483538239393</v>
      </c>
      <c r="D130" s="44">
        <v>-416.26557377621293</v>
      </c>
      <c r="E130" s="45">
        <v>-2050.2671215098294</v>
      </c>
      <c r="F130" s="44">
        <v>-2643.9325002122027</v>
      </c>
      <c r="G130" s="44">
        <v>-1996.5283652279181</v>
      </c>
      <c r="H130" s="44">
        <v>1674.25728703048</v>
      </c>
    </row>
    <row r="131" spans="1:8" ht="15">
      <c r="A131" s="41" t="str">
        <f>HLOOKUP(INDICE!$F$2,Nombres!$C$3:$D$636,48,FALSE)</f>
        <v>Profit/(loss) for the year</v>
      </c>
      <c r="B131" s="41">
        <f>+B129+B130</f>
        <v>26.219335351929544</v>
      </c>
      <c r="C131" s="41">
        <f aca="true" t="shared" si="22" ref="C131:H131">+C129+C130</f>
        <v>-145.86126356670252</v>
      </c>
      <c r="D131" s="41">
        <f t="shared" si="22"/>
        <v>-79.4837811705222</v>
      </c>
      <c r="E131" s="42">
        <f t="shared" si="22"/>
        <v>-1980.6558304415482</v>
      </c>
      <c r="F131" s="52">
        <f t="shared" si="22"/>
        <v>4478.029471120384</v>
      </c>
      <c r="G131" s="52">
        <f t="shared" si="22"/>
        <v>3282.988820362499</v>
      </c>
      <c r="H131" s="52">
        <f t="shared" si="22"/>
        <v>3176.123850462338</v>
      </c>
    </row>
    <row r="132" spans="1:8" ht="15">
      <c r="A132" s="43" t="str">
        <f>HLOOKUP(INDICE!$F$2,Nombres!$C$3:$D$636,49,FALSE)</f>
        <v>Non-controlling interests</v>
      </c>
      <c r="B132" s="44">
        <v>7.796973840961016</v>
      </c>
      <c r="C132" s="44">
        <v>32.476047688122634</v>
      </c>
      <c r="D132" s="44">
        <v>-33.15501887632112</v>
      </c>
      <c r="E132" s="45">
        <v>780.097971806112</v>
      </c>
      <c r="F132" s="44">
        <v>-1562.4174136894108</v>
      </c>
      <c r="G132" s="44">
        <v>-837.2658323329686</v>
      </c>
      <c r="H132" s="44">
        <v>-1217.666632419711</v>
      </c>
    </row>
    <row r="133" spans="1:8" ht="15">
      <c r="A133" s="47" t="str">
        <f>HLOOKUP(INDICE!$F$2,Nombres!$C$3:$D$636,50,FALSE)</f>
        <v>Net attributable profit</v>
      </c>
      <c r="B133" s="47">
        <f>+B131+B132</f>
        <v>34.01630919289056</v>
      </c>
      <c r="C133" s="47">
        <f aca="true" t="shared" si="23" ref="C133:H133">+C131+C132</f>
        <v>-113.38521587857988</v>
      </c>
      <c r="D133" s="47">
        <f t="shared" si="23"/>
        <v>-112.63880004684333</v>
      </c>
      <c r="E133" s="47">
        <f t="shared" si="23"/>
        <v>-1200.5578586354363</v>
      </c>
      <c r="F133" s="53">
        <f t="shared" si="23"/>
        <v>2915.6120574309734</v>
      </c>
      <c r="G133" s="53">
        <f t="shared" si="23"/>
        <v>2445.722988029531</v>
      </c>
      <c r="H133" s="53">
        <f t="shared" si="23"/>
        <v>1958.457218042627</v>
      </c>
    </row>
    <row r="134" spans="1:8" ht="15">
      <c r="A134" s="65"/>
      <c r="B134" s="66">
        <v>-6.252776074688882E-13</v>
      </c>
      <c r="C134" s="66">
        <v>-3.410605131648481E-13</v>
      </c>
      <c r="D134" s="66">
        <v>2.6147972675971687E-12</v>
      </c>
      <c r="E134" s="66">
        <v>-4.547473508864641E-12</v>
      </c>
      <c r="F134" s="66">
        <v>0</v>
      </c>
      <c r="G134" s="66">
        <v>0</v>
      </c>
      <c r="H134" s="66">
        <v>2.9558577807620168E-12</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HLOOKUP(INDICE!$F$2,Nombres!$C$3:$D$636,78,FALSE)</f>
        <v>(Million Argentinian pesos)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36921.473245309244</v>
      </c>
      <c r="C139" s="44">
        <v>54534.66052785163</v>
      </c>
      <c r="D139" s="44">
        <v>87836.03183315038</v>
      </c>
      <c r="E139" s="45">
        <v>99115.93073593074</v>
      </c>
      <c r="F139" s="44">
        <v>103983.04005003006</v>
      </c>
      <c r="G139" s="44">
        <v>90961.2688424307</v>
      </c>
      <c r="H139" s="44">
        <v>94266.26277702124</v>
      </c>
    </row>
    <row r="140" spans="1:8" ht="15">
      <c r="A140" s="43" t="str">
        <f>HLOOKUP(INDICE!$F$2,Nombres!$C$3:$D$636,53,FALSE)</f>
        <v>Financial assets designated at fair value </v>
      </c>
      <c r="B140" s="60">
        <v>21143.700982825372</v>
      </c>
      <c r="C140" s="60">
        <v>26139.45269437779</v>
      </c>
      <c r="D140" s="60">
        <v>33628.338821807534</v>
      </c>
      <c r="E140" s="68">
        <v>34869.74025974026</v>
      </c>
      <c r="F140" s="44">
        <v>48542.056574550064</v>
      </c>
      <c r="G140" s="44">
        <v>83729.19330263138</v>
      </c>
      <c r="H140" s="44">
        <v>76525.1728971404</v>
      </c>
    </row>
    <row r="141" spans="1:8" ht="15">
      <c r="A141" s="43" t="str">
        <f>HLOOKUP(INDICE!$F$2,Nombres!$C$3:$D$636,54,FALSE)</f>
        <v>Financial assets at amortized cost</v>
      </c>
      <c r="B141" s="44">
        <v>152131.4156656408</v>
      </c>
      <c r="C141" s="44">
        <v>174726.34718889825</v>
      </c>
      <c r="D141" s="44">
        <v>196463.27296011703</v>
      </c>
      <c r="E141" s="45">
        <v>200615.84415584416</v>
      </c>
      <c r="F141" s="44">
        <v>214871.96121882004</v>
      </c>
      <c r="G141" s="44">
        <v>200905.8035245502</v>
      </c>
      <c r="H141" s="44">
        <v>219462.2991972865</v>
      </c>
    </row>
    <row r="142" spans="1:8" ht="15">
      <c r="A142" s="43" t="str">
        <f>HLOOKUP(INDICE!$F$2,Nombres!$C$3:$D$636,55,FALSE)</f>
        <v>    of which loans and advances to customers</v>
      </c>
      <c r="B142" s="44">
        <v>141468.97647175615</v>
      </c>
      <c r="C142" s="44">
        <v>163283.4446533947</v>
      </c>
      <c r="D142" s="44">
        <v>178897.86864251734</v>
      </c>
      <c r="E142" s="45">
        <v>186386.36363636365</v>
      </c>
      <c r="F142" s="44">
        <v>194997.83510130204</v>
      </c>
      <c r="G142" s="44">
        <v>186827.26107852784</v>
      </c>
      <c r="H142" s="44">
        <v>204762.53366141158</v>
      </c>
    </row>
    <row r="143" spans="1:8" ht="15">
      <c r="A143" s="43" t="str">
        <f>HLOOKUP(INDICE!$F$2,Nombres!$C$3:$D$636,56,FALSE)</f>
        <v>Tangible assets</v>
      </c>
      <c r="B143" s="44">
        <v>12104.38909063834</v>
      </c>
      <c r="C143" s="44">
        <v>13230.926073536086</v>
      </c>
      <c r="D143" s="44">
        <v>14347.008781558725</v>
      </c>
      <c r="E143" s="45">
        <v>16889.98936017316</v>
      </c>
      <c r="F143" s="44">
        <v>19928.486552668135</v>
      </c>
      <c r="G143" s="44">
        <v>21550.739685197426</v>
      </c>
      <c r="H143" s="44">
        <v>24680.04528462732</v>
      </c>
    </row>
    <row r="144" spans="1:8" ht="15">
      <c r="A144" s="43" t="str">
        <f>HLOOKUP(INDICE!$F$2,Nombres!$C$3:$D$636,57,FALSE)</f>
        <v>Other assets</v>
      </c>
      <c r="B144" s="60">
        <f>+B145-B143-B141-B140-B139</f>
        <v>3614.672889903719</v>
      </c>
      <c r="C144" s="60">
        <f aca="true" t="shared" si="25" ref="C144:H144">+C145-C143-C141-C140-C139</f>
        <v>4346.240235069148</v>
      </c>
      <c r="D144" s="60">
        <f t="shared" si="25"/>
        <v>6285.537870471933</v>
      </c>
      <c r="E144" s="68">
        <f t="shared" si="25"/>
        <v>6793.647259740304</v>
      </c>
      <c r="F144" s="44">
        <f t="shared" si="25"/>
        <v>7975.459410362295</v>
      </c>
      <c r="G144" s="44">
        <f t="shared" si="25"/>
        <v>9374.594922494085</v>
      </c>
      <c r="H144" s="44">
        <f t="shared" si="25"/>
        <v>11574.932563079565</v>
      </c>
    </row>
    <row r="145" spans="1:8" ht="15">
      <c r="A145" s="47" t="str">
        <f>HLOOKUP(INDICE!$F$2,Nombres!$C$3:$D$636,58,FALSE)</f>
        <v>Total assets / Liabilities and equity</v>
      </c>
      <c r="B145" s="47">
        <v>225915.65187431747</v>
      </c>
      <c r="C145" s="47">
        <v>272977.6267197329</v>
      </c>
      <c r="D145" s="47">
        <v>338560.1902671056</v>
      </c>
      <c r="E145" s="47">
        <v>358285.15177142865</v>
      </c>
      <c r="F145" s="53">
        <v>395301.0038064306</v>
      </c>
      <c r="G145" s="53">
        <v>406521.6002773038</v>
      </c>
      <c r="H145" s="53">
        <v>426508.712719155</v>
      </c>
    </row>
    <row r="146" spans="1:8" ht="15">
      <c r="A146" s="43" t="str">
        <f>HLOOKUP(INDICE!$F$2,Nombres!$C$3:$D$636,59,FALSE)</f>
        <v>Financial liabilities held for trading and designated at fair value through profit or loss</v>
      </c>
      <c r="B146" s="60">
        <v>766.3059664449518</v>
      </c>
      <c r="C146" s="60">
        <v>2429.544128136956</v>
      </c>
      <c r="D146" s="60">
        <v>5846.5971459934135</v>
      </c>
      <c r="E146" s="68">
        <v>1529.3506493506495</v>
      </c>
      <c r="F146" s="44">
        <v>3043.4497679315873</v>
      </c>
      <c r="G146" s="44">
        <v>3444.7834614615767</v>
      </c>
      <c r="H146" s="44">
        <v>4066.021404891413</v>
      </c>
    </row>
    <row r="147" spans="1:8" ht="15">
      <c r="A147" s="43" t="str">
        <f>HLOOKUP(INDICE!$F$2,Nombres!$C$3:$D$636,60,FALSE)</f>
        <v>Deposits from central banks and credit institutions</v>
      </c>
      <c r="B147" s="60">
        <v>3155.4402859128363</v>
      </c>
      <c r="C147" s="60">
        <v>8857.402243693663</v>
      </c>
      <c r="D147" s="60">
        <v>8115.852542993047</v>
      </c>
      <c r="E147" s="68">
        <v>7708.961038961039</v>
      </c>
      <c r="F147" s="44">
        <v>7935.0074108721765</v>
      </c>
      <c r="G147" s="44">
        <v>5140.018281217273</v>
      </c>
      <c r="H147" s="44">
        <v>12516.308234253669</v>
      </c>
    </row>
    <row r="148" spans="1:8" ht="15">
      <c r="A148" s="43" t="str">
        <f>HLOOKUP(INDICE!$F$2,Nombres!$C$3:$D$636,61,FALSE)</f>
        <v>Deposits from customers</v>
      </c>
      <c r="B148" s="60">
        <v>159841.53181773057</v>
      </c>
      <c r="C148" s="60">
        <v>192443.38888528632</v>
      </c>
      <c r="D148" s="60">
        <v>247008.41566044636</v>
      </c>
      <c r="E148" s="68">
        <v>259042.59740259743</v>
      </c>
      <c r="F148" s="44">
        <v>278251.9679211023</v>
      </c>
      <c r="G148" s="44">
        <v>284795.84179900715</v>
      </c>
      <c r="H148" s="44">
        <v>274836.2592998998</v>
      </c>
    </row>
    <row r="149" spans="1:8" ht="15">
      <c r="A149" s="43" t="str">
        <f>HLOOKUP(INDICE!$F$2,Nombres!$C$3:$D$636,62,FALSE)</f>
        <v>Debt certificates</v>
      </c>
      <c r="B149" s="44">
        <v>1733.396207683907</v>
      </c>
      <c r="C149" s="44">
        <v>1655.794047078659</v>
      </c>
      <c r="D149" s="44">
        <v>1644.621295279912</v>
      </c>
      <c r="E149" s="45">
        <v>2348.874458874459</v>
      </c>
      <c r="F149" s="44">
        <v>4097.013769178869</v>
      </c>
      <c r="G149" s="44">
        <v>4192.40298191409</v>
      </c>
      <c r="H149" s="44">
        <v>8599.70361360881</v>
      </c>
    </row>
    <row r="150" spans="1:8" ht="15">
      <c r="A150" s="43" t="str">
        <f>HLOOKUP(INDICE!$F$2,Nombres!$C$3:$D$636,63,FALSE)</f>
        <v>Other liabilities</v>
      </c>
      <c r="B150" s="60">
        <f>+B145-B146-B147-B148-B149-B151</f>
        <v>47127.39663754589</v>
      </c>
      <c r="C150" s="60">
        <f aca="true" t="shared" si="26" ref="C150:H150">+C145-C146-C147-C148-C149-C151</f>
        <v>50499.470309642755</v>
      </c>
      <c r="D150" s="60">
        <f t="shared" si="26"/>
        <v>57999.132381082934</v>
      </c>
      <c r="E150" s="68">
        <f t="shared" si="26"/>
        <v>70610.16229956715</v>
      </c>
      <c r="F150" s="44">
        <f t="shared" si="26"/>
        <v>81141.065817332</v>
      </c>
      <c r="G150" s="44">
        <f t="shared" si="26"/>
        <v>84812.62582359981</v>
      </c>
      <c r="H150" s="44">
        <f t="shared" si="26"/>
        <v>102429.96027775822</v>
      </c>
    </row>
    <row r="151" spans="1:8" ht="15">
      <c r="A151" s="43" t="str">
        <f>HLOOKUP(INDICE!$F$2,Nombres!$C$3:$D$636,64,FALSE)</f>
        <v>Economic capital allocated</v>
      </c>
      <c r="B151" s="44">
        <v>13291.580958999306</v>
      </c>
      <c r="C151" s="44">
        <v>17092.027105894565</v>
      </c>
      <c r="D151" s="44">
        <v>17945.571241309914</v>
      </c>
      <c r="E151" s="45">
        <v>17045.20592207792</v>
      </c>
      <c r="F151" s="44">
        <v>20832.499120013643</v>
      </c>
      <c r="G151" s="44">
        <v>24135.92793010387</v>
      </c>
      <c r="H151" s="44">
        <v>24060.459888743117</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HLOOKUP(INDICE!$F$2,Nombres!$C$3:$D$636,78,FALSE)</f>
        <v>(Million Argentinian pesos)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139181.15326640525</v>
      </c>
      <c r="C157" s="44">
        <v>159533.0603881071</v>
      </c>
      <c r="D157" s="44">
        <v>175774.75560144533</v>
      </c>
      <c r="E157" s="45">
        <v>186480.22463073593</v>
      </c>
      <c r="F157" s="44">
        <v>194938.33330663803</v>
      </c>
      <c r="G157" s="44">
        <v>195257.7018963404</v>
      </c>
      <c r="H157" s="44">
        <v>215367.17488110185</v>
      </c>
    </row>
    <row r="158" spans="1:8" ht="15.75" customHeight="1">
      <c r="A158" s="43" t="str">
        <f>HLOOKUP(INDICE!$F$2,Nombres!$C$3:$D$636,67,FALSE)</f>
        <v>Customer deposits under management (*)</v>
      </c>
      <c r="B158" s="44">
        <v>159740.16559019158</v>
      </c>
      <c r="C158" s="44">
        <v>192411.108962778</v>
      </c>
      <c r="D158" s="44">
        <v>247204.459039517</v>
      </c>
      <c r="E158" s="45">
        <v>259129.91622077924</v>
      </c>
      <c r="F158" s="44">
        <v>278328.3481685719</v>
      </c>
      <c r="G158" s="44">
        <v>284735.1518868636</v>
      </c>
      <c r="H158" s="44">
        <v>274109.65802499943</v>
      </c>
    </row>
    <row r="159" spans="1:8" ht="15.75" customHeight="1">
      <c r="A159" s="43" t="str">
        <f>HLOOKUP(INDICE!$F$2,Nombres!$C$3:$D$636,68,FALSE)</f>
        <v>Mutual funds</v>
      </c>
      <c r="B159" s="44">
        <v>43811.134354710615</v>
      </c>
      <c r="C159" s="44">
        <v>38888.90857629207</v>
      </c>
      <c r="D159" s="44">
        <v>35793.94178695572</v>
      </c>
      <c r="E159" s="45">
        <v>33897.864619913424</v>
      </c>
      <c r="F159" s="44">
        <v>50566.02125308689</v>
      </c>
      <c r="G159" s="44">
        <v>50853.11954240798</v>
      </c>
      <c r="H159" s="44">
        <v>41047.339262827074</v>
      </c>
    </row>
    <row r="160" spans="1:8" ht="15.75" customHeight="1">
      <c r="A160" s="43" t="str">
        <f>HLOOKUP(INDICE!$F$2,Nombres!$C$3:$D$636,69,FALSE)</f>
        <v>Pension funds</v>
      </c>
      <c r="B160" s="44" t="s">
        <v>407</v>
      </c>
      <c r="C160" s="44" t="s">
        <v>407</v>
      </c>
      <c r="D160" s="44" t="s">
        <v>407</v>
      </c>
      <c r="E160" s="45" t="s">
        <v>407</v>
      </c>
      <c r="F160" s="44" t="s">
        <v>407</v>
      </c>
      <c r="G160" s="44" t="s">
        <v>407</v>
      </c>
      <c r="H160" s="44" t="s">
        <v>407</v>
      </c>
    </row>
    <row r="161" spans="1:8" ht="15">
      <c r="A161" s="43" t="str">
        <f>HLOOKUP(INDICE!$F$2,Nombres!$C$3:$D$636,70,FALSE)</f>
        <v>Other off balance-sheet funds</v>
      </c>
      <c r="B161" s="44" t="s">
        <v>407</v>
      </c>
      <c r="C161" s="44" t="s">
        <v>407</v>
      </c>
      <c r="D161" s="44" t="s">
        <v>407</v>
      </c>
      <c r="E161" s="45" t="s">
        <v>407</v>
      </c>
      <c r="F161" s="44" t="s">
        <v>407</v>
      </c>
      <c r="G161" s="44" t="s">
        <v>407</v>
      </c>
      <c r="H161" s="44" t="s">
        <v>407</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5">
    <mergeCell ref="B6:E6"/>
    <mergeCell ref="B60:E60"/>
    <mergeCell ref="B114:E114"/>
    <mergeCell ref="F6:H6"/>
    <mergeCell ref="F60:H60"/>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8" ht="18">
      <c r="A1" s="29" t="str">
        <f>HLOOKUP(INDICE!$F$2,Nombres!$C$3:$D$636,15,FALSE)</f>
        <v>Chile</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152.806</v>
      </c>
      <c r="C8" s="41">
        <v>158.88999999999996</v>
      </c>
      <c r="D8" s="41">
        <v>39.458</v>
      </c>
      <c r="E8" s="42">
        <v>44.110000000000014</v>
      </c>
      <c r="F8" s="52">
        <v>46.31</v>
      </c>
      <c r="G8" s="52">
        <v>46.683</v>
      </c>
      <c r="H8" s="52">
        <v>46.277000000000015</v>
      </c>
    </row>
    <row r="9" spans="1:8" ht="15">
      <c r="A9" s="43" t="str">
        <f>HLOOKUP(INDICE!$F$2,Nombres!$C$3:$D$636,34,FALSE)</f>
        <v>Net fees and commissions</v>
      </c>
      <c r="B9" s="44">
        <v>19.284331769999998</v>
      </c>
      <c r="C9" s="44">
        <v>25.06924255000001</v>
      </c>
      <c r="D9" s="44">
        <v>7.396655829999995</v>
      </c>
      <c r="E9" s="45">
        <v>7.4655590000000025</v>
      </c>
      <c r="F9" s="44">
        <v>5.179</v>
      </c>
      <c r="G9" s="44">
        <v>4.452999999999999</v>
      </c>
      <c r="H9" s="44">
        <v>4.7310000000000025</v>
      </c>
    </row>
    <row r="10" spans="1:8" ht="15">
      <c r="A10" s="43" t="str">
        <f>HLOOKUP(INDICE!$F$2,Nombres!$C$3:$D$636,35,FALSE)</f>
        <v>Net trading income</v>
      </c>
      <c r="B10" s="44">
        <v>18.48020702000001</v>
      </c>
      <c r="C10" s="44">
        <v>19.191988620000004</v>
      </c>
      <c r="D10" s="44">
        <v>-0.595067999999999</v>
      </c>
      <c r="E10" s="45">
        <v>-0.15798300000000076</v>
      </c>
      <c r="F10" s="44">
        <v>0.374</v>
      </c>
      <c r="G10" s="44">
        <v>0.36499999999999994</v>
      </c>
      <c r="H10" s="44">
        <v>0.343</v>
      </c>
    </row>
    <row r="11" spans="1:8" ht="15">
      <c r="A11" s="43" t="str">
        <f>HLOOKUP(INDICE!$F$2,Nombres!$C$3:$D$636,36,FALSE)</f>
        <v>Other operating income and expenses</v>
      </c>
      <c r="B11" s="44">
        <v>4.5089999999999995</v>
      </c>
      <c r="C11" s="44">
        <v>4.374000000000001</v>
      </c>
      <c r="D11" s="44">
        <v>-0.529000000000001</v>
      </c>
      <c r="E11" s="45">
        <v>-0.44799999999999895</v>
      </c>
      <c r="F11" s="44">
        <v>0.053000000000000005</v>
      </c>
      <c r="G11" s="44">
        <v>-0.03999999999999999</v>
      </c>
      <c r="H11" s="44">
        <v>-0.03599999999999999</v>
      </c>
    </row>
    <row r="12" spans="1:8" ht="15">
      <c r="A12" s="41" t="str">
        <f>HLOOKUP(INDICE!$F$2,Nombres!$C$3:$D$636,37,FALSE)</f>
        <v>Gross income</v>
      </c>
      <c r="B12" s="41">
        <v>195.07953878999996</v>
      </c>
      <c r="C12" s="41">
        <v>207.52523116999998</v>
      </c>
      <c r="D12" s="41">
        <v>45.73058782999999</v>
      </c>
      <c r="E12" s="42">
        <v>50.96957600000002</v>
      </c>
      <c r="F12" s="52">
        <f>+SUM(F8:F11)</f>
        <v>51.916000000000004</v>
      </c>
      <c r="G12" s="52">
        <f>+SUM(G8:G11)</f>
        <v>51.461</v>
      </c>
      <c r="H12" s="52">
        <f>+SUM(H8:H11)</f>
        <v>51.31500000000002</v>
      </c>
    </row>
    <row r="13" spans="1:8" ht="15">
      <c r="A13" s="43" t="str">
        <f>HLOOKUP(INDICE!$F$2,Nombres!$C$3:$D$636,38,FALSE)</f>
        <v>Operating expenses</v>
      </c>
      <c r="B13" s="44">
        <v>-87.71438929</v>
      </c>
      <c r="C13" s="44">
        <v>-94.85038987000001</v>
      </c>
      <c r="D13" s="44">
        <v>-12.026999999999997</v>
      </c>
      <c r="E13" s="45">
        <v>-15.372000000000002</v>
      </c>
      <c r="F13" s="44">
        <v>-16.61</v>
      </c>
      <c r="G13" s="44">
        <v>-17.019000000000002</v>
      </c>
      <c r="H13" s="44">
        <v>-17.613</v>
      </c>
    </row>
    <row r="14" spans="1:8" ht="15">
      <c r="A14" s="43" t="str">
        <f>HLOOKUP(INDICE!$F$2,Nombres!$C$3:$D$636,39,FALSE)</f>
        <v>  Administration expenses</v>
      </c>
      <c r="B14" s="44">
        <v>-83.26438929</v>
      </c>
      <c r="C14" s="44">
        <v>-88.88038987</v>
      </c>
      <c r="D14" s="44">
        <v>-11.503999999999998</v>
      </c>
      <c r="E14" s="45">
        <v>-14.699000000000002</v>
      </c>
      <c r="F14" s="44">
        <v>-15.440000000000001</v>
      </c>
      <c r="G14" s="44">
        <v>-15.911999999999999</v>
      </c>
      <c r="H14" s="44">
        <v>-16.583</v>
      </c>
    </row>
    <row r="15" spans="1:8" ht="15">
      <c r="A15" s="46" t="str">
        <f>HLOOKUP(INDICE!$F$2,Nombres!$C$3:$D$636,40,FALSE)</f>
        <v>  Personnel expenses</v>
      </c>
      <c r="B15" s="44">
        <v>-45.123</v>
      </c>
      <c r="C15" s="44">
        <v>-53.656000000000006</v>
      </c>
      <c r="D15" s="44">
        <v>-3.483999999999999</v>
      </c>
      <c r="E15" s="45">
        <v>-6.603000000000002</v>
      </c>
      <c r="F15" s="44">
        <v>-6.602</v>
      </c>
      <c r="G15" s="44">
        <v>-6.782</v>
      </c>
      <c r="H15" s="44">
        <v>-7.768999999999998</v>
      </c>
    </row>
    <row r="16" spans="1:8" ht="15">
      <c r="A16" s="46" t="str">
        <f>HLOOKUP(INDICE!$F$2,Nombres!$C$3:$D$636,41,FALSE)</f>
        <v>  General and administrative expenses</v>
      </c>
      <c r="B16" s="44">
        <v>-38.141389290000006</v>
      </c>
      <c r="C16" s="44">
        <v>-35.22438987000001</v>
      </c>
      <c r="D16" s="44">
        <v>-8.02</v>
      </c>
      <c r="E16" s="45">
        <v>-8.096</v>
      </c>
      <c r="F16" s="44">
        <v>-8.838</v>
      </c>
      <c r="G16" s="44">
        <v>-9.129999999999999</v>
      </c>
      <c r="H16" s="44">
        <v>-8.814</v>
      </c>
    </row>
    <row r="17" spans="1:8" ht="15">
      <c r="A17" s="43" t="str">
        <f>HLOOKUP(INDICE!$F$2,Nombres!$C$3:$D$636,42,FALSE)</f>
        <v>  Depreciation</v>
      </c>
      <c r="B17" s="44">
        <v>-4.449999999999999</v>
      </c>
      <c r="C17" s="44">
        <v>-5.970000000000001</v>
      </c>
      <c r="D17" s="44">
        <v>-0.5229999999999997</v>
      </c>
      <c r="E17" s="45">
        <v>-0.6729999999999995</v>
      </c>
      <c r="F17" s="44">
        <v>-1.17</v>
      </c>
      <c r="G17" s="44">
        <v>-1.107</v>
      </c>
      <c r="H17" s="44">
        <v>-1.03</v>
      </c>
    </row>
    <row r="18" spans="1:8" ht="15">
      <c r="A18" s="41" t="str">
        <f>HLOOKUP(INDICE!$F$2,Nombres!$C$3:$D$636,43,FALSE)</f>
        <v>Operating income</v>
      </c>
      <c r="B18" s="41">
        <f aca="true" t="shared" si="0" ref="B18:H18">+B12+B13</f>
        <v>107.36514949999996</v>
      </c>
      <c r="C18" s="41">
        <f t="shared" si="0"/>
        <v>112.67484129999997</v>
      </c>
      <c r="D18" s="41">
        <f t="shared" si="0"/>
        <v>33.70358782999999</v>
      </c>
      <c r="E18" s="42">
        <f t="shared" si="0"/>
        <v>35.59757600000002</v>
      </c>
      <c r="F18" s="52">
        <f t="shared" si="0"/>
        <v>35.306000000000004</v>
      </c>
      <c r="G18" s="52">
        <f t="shared" si="0"/>
        <v>34.44199999999999</v>
      </c>
      <c r="H18" s="52">
        <f t="shared" si="0"/>
        <v>33.70200000000002</v>
      </c>
    </row>
    <row r="19" spans="1:8" ht="15">
      <c r="A19" s="43" t="str">
        <f>HLOOKUP(INDICE!$F$2,Nombres!$C$3:$D$636,44,FALSE)</f>
        <v>Impaiment on financial assets not measured at fair value through profit or loss</v>
      </c>
      <c r="B19" s="44">
        <v>-33.86799999999999</v>
      </c>
      <c r="C19" s="44">
        <v>-22.713000000000005</v>
      </c>
      <c r="D19" s="44">
        <v>-13.674999999999999</v>
      </c>
      <c r="E19" s="45">
        <v>-6.474</v>
      </c>
      <c r="F19" s="44">
        <v>-12.503</v>
      </c>
      <c r="G19" s="44">
        <v>-11.61</v>
      </c>
      <c r="H19" s="44">
        <v>-13.782</v>
      </c>
    </row>
    <row r="20" spans="1:8" ht="15">
      <c r="A20" s="43" t="str">
        <f>HLOOKUP(INDICE!$F$2,Nombres!$C$3:$D$636,45,FALSE)</f>
        <v>Provisions or reversal of provisions and other results</v>
      </c>
      <c r="B20" s="44">
        <v>1.6859999999999997</v>
      </c>
      <c r="C20" s="44">
        <v>0.4892879999999997</v>
      </c>
      <c r="D20" s="44">
        <v>1.1910000000000003</v>
      </c>
      <c r="E20" s="45">
        <v>-0.31400000000000095</v>
      </c>
      <c r="F20" s="44">
        <v>-0.553</v>
      </c>
      <c r="G20" s="44">
        <v>-0.2849999999999999</v>
      </c>
      <c r="H20" s="44">
        <v>-0.377</v>
      </c>
    </row>
    <row r="21" spans="1:8" ht="15">
      <c r="A21" s="41" t="str">
        <f>HLOOKUP(INDICE!$F$2,Nombres!$C$3:$D$636,46,FALSE)</f>
        <v>Profit/(loss) before tax</v>
      </c>
      <c r="B21" s="41">
        <f aca="true" t="shared" si="1" ref="B21:H21">+B18+B19+B20</f>
        <v>75.18314949999997</v>
      </c>
      <c r="C21" s="41">
        <f t="shared" si="1"/>
        <v>90.45112929999996</v>
      </c>
      <c r="D21" s="41">
        <f t="shared" si="1"/>
        <v>21.21958782999999</v>
      </c>
      <c r="E21" s="42">
        <f t="shared" si="1"/>
        <v>28.809576000000018</v>
      </c>
      <c r="F21" s="52">
        <f t="shared" si="1"/>
        <v>22.250000000000004</v>
      </c>
      <c r="G21" s="52">
        <f t="shared" si="1"/>
        <v>22.546999999999993</v>
      </c>
      <c r="H21" s="52">
        <f t="shared" si="1"/>
        <v>19.54300000000002</v>
      </c>
    </row>
    <row r="22" spans="1:8" ht="15">
      <c r="A22" s="43" t="str">
        <f>HLOOKUP(INDICE!$F$2,Nombres!$C$3:$D$636,47,FALSE)</f>
        <v>Income tax</v>
      </c>
      <c r="B22" s="44">
        <v>-17.794950460000003</v>
      </c>
      <c r="C22" s="44">
        <v>-17.654181890000004</v>
      </c>
      <c r="D22" s="44">
        <v>-6.118609369999999</v>
      </c>
      <c r="E22" s="45">
        <v>-8.180961980000003</v>
      </c>
      <c r="F22" s="44">
        <v>-5.583</v>
      </c>
      <c r="G22" s="44">
        <v>-5.790000000000001</v>
      </c>
      <c r="H22" s="44">
        <v>-5.564</v>
      </c>
    </row>
    <row r="23" spans="1:8" ht="15">
      <c r="A23" s="41" t="str">
        <f>HLOOKUP(INDICE!$F$2,Nombres!$C$3:$D$636,48,FALSE)</f>
        <v>Profit/(loss) for the year</v>
      </c>
      <c r="B23" s="41">
        <f aca="true" t="shared" si="2" ref="B23:H23">+B21+B22</f>
        <v>57.38819903999997</v>
      </c>
      <c r="C23" s="41">
        <f t="shared" si="2"/>
        <v>72.79694740999996</v>
      </c>
      <c r="D23" s="41">
        <f t="shared" si="2"/>
        <v>15.100978459999993</v>
      </c>
      <c r="E23" s="42">
        <f t="shared" si="2"/>
        <v>20.628614020000015</v>
      </c>
      <c r="F23" s="52">
        <f t="shared" si="2"/>
        <v>16.667</v>
      </c>
      <c r="G23" s="52">
        <f t="shared" si="2"/>
        <v>16.75699999999999</v>
      </c>
      <c r="H23" s="52">
        <f t="shared" si="2"/>
        <v>13.97900000000002</v>
      </c>
    </row>
    <row r="24" spans="1:8" ht="15">
      <c r="A24" s="43" t="str">
        <f>HLOOKUP(INDICE!$F$2,Nombres!$C$3:$D$636,49,FALSE)</f>
        <v>Non-controlling interests</v>
      </c>
      <c r="B24" s="44">
        <v>-12.181299550000002</v>
      </c>
      <c r="C24" s="44">
        <v>-17.454129039999998</v>
      </c>
      <c r="D24" s="44">
        <v>0.2920339999999999</v>
      </c>
      <c r="E24" s="45">
        <v>0.23685400000000034</v>
      </c>
      <c r="F24" s="44" t="s">
        <v>407</v>
      </c>
      <c r="G24" s="44" t="s">
        <v>407</v>
      </c>
      <c r="H24" s="44" t="s">
        <v>407</v>
      </c>
    </row>
    <row r="25" spans="1:8" ht="15">
      <c r="A25" s="47" t="str">
        <f>HLOOKUP(INDICE!$F$2,Nombres!$C$3:$D$636,50,FALSE)</f>
        <v>Net attributable profit</v>
      </c>
      <c r="B25" s="47">
        <f aca="true" t="shared" si="3" ref="B25:H25">+B23+B24</f>
        <v>45.20689948999997</v>
      </c>
      <c r="C25" s="47">
        <f t="shared" si="3"/>
        <v>55.34281836999996</v>
      </c>
      <c r="D25" s="47">
        <f t="shared" si="3"/>
        <v>15.393012459999992</v>
      </c>
      <c r="E25" s="74">
        <f t="shared" si="3"/>
        <v>20.865468020000016</v>
      </c>
      <c r="F25" s="53">
        <f t="shared" si="3"/>
        <v>16.667</v>
      </c>
      <c r="G25" s="53">
        <f t="shared" si="3"/>
        <v>16.75699999999999</v>
      </c>
      <c r="H25" s="53">
        <f t="shared" si="3"/>
        <v>13.97900000000002</v>
      </c>
    </row>
    <row r="26" spans="1:8" ht="15">
      <c r="A26" s="65"/>
      <c r="B26" s="66"/>
      <c r="C26" s="66"/>
      <c r="D26" s="66"/>
      <c r="E26" s="66"/>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697.377</v>
      </c>
      <c r="C31" s="44">
        <v>568.6980000000001</v>
      </c>
      <c r="D31" s="44">
        <v>39.689</v>
      </c>
      <c r="E31" s="45">
        <v>27.104999999999997</v>
      </c>
      <c r="F31" s="44">
        <v>26.067999999999998</v>
      </c>
      <c r="G31" s="44">
        <v>37.254</v>
      </c>
      <c r="H31" s="44">
        <v>24.968</v>
      </c>
    </row>
    <row r="32" spans="1:8" ht="15">
      <c r="A32" s="43" t="str">
        <f>HLOOKUP(INDICE!$F$2,Nombres!$C$3:$D$636,53,FALSE)</f>
        <v>Financial assets designated at fair value </v>
      </c>
      <c r="B32" s="60">
        <v>4135.213</v>
      </c>
      <c r="C32" s="60">
        <v>4384.057</v>
      </c>
      <c r="D32" s="60">
        <v>0</v>
      </c>
      <c r="E32" s="68">
        <v>0</v>
      </c>
      <c r="F32" s="44">
        <v>0</v>
      </c>
      <c r="G32" s="44">
        <v>0</v>
      </c>
      <c r="H32" s="44">
        <v>0</v>
      </c>
    </row>
    <row r="33" spans="1:8" ht="15">
      <c r="A33" s="43" t="str">
        <f>HLOOKUP(INDICE!$F$2,Nombres!$C$3:$D$636,54,FALSE)</f>
        <v>Financial assets at amortized cost</v>
      </c>
      <c r="B33" s="44">
        <v>15410.626999999999</v>
      </c>
      <c r="C33" s="44">
        <v>15544.317999999997</v>
      </c>
      <c r="D33" s="44">
        <v>1993.3819999999996</v>
      </c>
      <c r="E33" s="45">
        <v>2084.355</v>
      </c>
      <c r="F33" s="44">
        <v>2203.2079999999996</v>
      </c>
      <c r="G33" s="44">
        <v>2075.379</v>
      </c>
      <c r="H33" s="44">
        <v>2076.5119999999997</v>
      </c>
    </row>
    <row r="34" spans="1:8" ht="15">
      <c r="A34" s="43" t="str">
        <f>HLOOKUP(INDICE!$F$2,Nombres!$C$3:$D$636,55,FALSE)</f>
        <v>    of which loans and advances to customers</v>
      </c>
      <c r="B34" s="44">
        <v>14866.773999999998</v>
      </c>
      <c r="C34" s="44">
        <v>15022.825999999997</v>
      </c>
      <c r="D34" s="44">
        <v>1993.3819999999996</v>
      </c>
      <c r="E34" s="45">
        <v>2049.2599999999998</v>
      </c>
      <c r="F34" s="44">
        <v>2130.033</v>
      </c>
      <c r="G34" s="44">
        <v>2074.513</v>
      </c>
      <c r="H34" s="44">
        <v>2043.33</v>
      </c>
    </row>
    <row r="35" spans="1:8" ht="15">
      <c r="A35" s="43" t="str">
        <f>HLOOKUP(INDICE!$F$2,Nombres!$C$3:$D$636,56,FALSE)</f>
        <v>Tangible assets</v>
      </c>
      <c r="B35" s="44">
        <v>90.72300000000001</v>
      </c>
      <c r="C35" s="44">
        <v>88.108</v>
      </c>
      <c r="D35" s="44">
        <v>2.2</v>
      </c>
      <c r="E35" s="45">
        <v>2.141</v>
      </c>
      <c r="F35" s="44">
        <v>15.241000000000001</v>
      </c>
      <c r="G35" s="44">
        <v>14.600000000000001</v>
      </c>
      <c r="H35" s="44">
        <v>14.113999999999999</v>
      </c>
    </row>
    <row r="36" spans="1:8" ht="15">
      <c r="A36" s="43" t="str">
        <f>HLOOKUP(INDICE!$F$2,Nombres!$C$3:$D$636,57,FALSE)</f>
        <v>Other assets</v>
      </c>
      <c r="B36" s="60">
        <f>+B37-B35-B33-B32-B31</f>
        <v>1199.7070000000008</v>
      </c>
      <c r="C36" s="60">
        <f aca="true" t="shared" si="4" ref="C36:H36">+C37-C35-C33-C32-C31</f>
        <v>1241.0369999999996</v>
      </c>
      <c r="D36" s="60">
        <f t="shared" si="4"/>
        <v>873.8855357700007</v>
      </c>
      <c r="E36" s="68">
        <f t="shared" si="4"/>
        <v>1008.7319683800001</v>
      </c>
      <c r="F36" s="44">
        <f t="shared" si="4"/>
        <v>1168.8700000000006</v>
      </c>
      <c r="G36" s="44">
        <f t="shared" si="4"/>
        <v>1160.2350000000006</v>
      </c>
      <c r="H36" s="44">
        <f t="shared" si="4"/>
        <v>1183.2180028</v>
      </c>
    </row>
    <row r="37" spans="1:8" ht="15">
      <c r="A37" s="47" t="str">
        <f>HLOOKUP(INDICE!$F$2,Nombres!$C$3:$D$636,58,FALSE)</f>
        <v>Total assets / Liabilities and equity</v>
      </c>
      <c r="B37" s="47">
        <v>21533.647</v>
      </c>
      <c r="C37" s="47">
        <v>21826.217999999997</v>
      </c>
      <c r="D37" s="47">
        <v>2909.15653577</v>
      </c>
      <c r="E37" s="47">
        <v>3122.3329683800002</v>
      </c>
      <c r="F37" s="53">
        <v>3413.387</v>
      </c>
      <c r="G37" s="53">
        <v>3287.4680000000003</v>
      </c>
      <c r="H37" s="53">
        <v>3298.8120028</v>
      </c>
    </row>
    <row r="38" spans="1:8" ht="15">
      <c r="A38" s="43" t="str">
        <f>HLOOKUP(INDICE!$F$2,Nombres!$C$3:$D$636,59,FALSE)</f>
        <v>Financial liabilities held for trading and designated at fair value through profit or loss</v>
      </c>
      <c r="B38" s="60">
        <v>2049.245</v>
      </c>
      <c r="C38" s="60">
        <v>2134.319</v>
      </c>
      <c r="D38" s="60">
        <v>0</v>
      </c>
      <c r="E38" s="68">
        <v>0</v>
      </c>
      <c r="F38" s="44">
        <v>0</v>
      </c>
      <c r="G38" s="44">
        <v>0</v>
      </c>
      <c r="H38" s="44">
        <v>0</v>
      </c>
    </row>
    <row r="39" spans="1:8" ht="15">
      <c r="A39" s="43" t="str">
        <f>HLOOKUP(INDICE!$F$2,Nombres!$C$3:$D$636,60,FALSE)</f>
        <v>Deposits from central banks and credit institutions</v>
      </c>
      <c r="B39" s="60">
        <v>1858.1740000000002</v>
      </c>
      <c r="C39" s="60">
        <v>1517.3490000000002</v>
      </c>
      <c r="D39" s="60">
        <v>566.8929999999999</v>
      </c>
      <c r="E39" s="68">
        <v>587.325</v>
      </c>
      <c r="F39" s="44">
        <v>549.569</v>
      </c>
      <c r="G39" s="44">
        <v>512.402</v>
      </c>
      <c r="H39" s="44">
        <v>542.526</v>
      </c>
    </row>
    <row r="40" spans="1:8" ht="15.75" customHeight="1">
      <c r="A40" s="43" t="str">
        <f>HLOOKUP(INDICE!$F$2,Nombres!$C$3:$D$636,61,FALSE)</f>
        <v>Deposits from customers</v>
      </c>
      <c r="B40" s="60">
        <v>8789.339</v>
      </c>
      <c r="C40" s="60">
        <v>9613.758</v>
      </c>
      <c r="D40" s="60">
        <v>14.068999999999999</v>
      </c>
      <c r="E40" s="68">
        <v>10.187000000000001</v>
      </c>
      <c r="F40" s="44">
        <v>10.806</v>
      </c>
      <c r="G40" s="44">
        <v>7.268</v>
      </c>
      <c r="H40" s="44">
        <v>9.172</v>
      </c>
    </row>
    <row r="41" spans="1:8" ht="15">
      <c r="A41" s="43" t="str">
        <f>HLOOKUP(INDICE!$F$2,Nombres!$C$3:$D$636,62,FALSE)</f>
        <v>Debt certificates</v>
      </c>
      <c r="B41" s="44">
        <v>4960.477</v>
      </c>
      <c r="C41" s="44">
        <v>4658.97</v>
      </c>
      <c r="D41" s="44">
        <v>932.336</v>
      </c>
      <c r="E41" s="45">
        <v>1041.467</v>
      </c>
      <c r="F41" s="44">
        <v>1125.34</v>
      </c>
      <c r="G41" s="44">
        <v>1058.501</v>
      </c>
      <c r="H41" s="44">
        <v>1041.367</v>
      </c>
    </row>
    <row r="42" spans="1:8" ht="15">
      <c r="A42" s="43" t="str">
        <f>HLOOKUP(INDICE!$F$2,Nombres!$C$3:$D$636,63,FALSE)</f>
        <v>Other liabilities</v>
      </c>
      <c r="B42" s="60">
        <f>+B37-B38-B39-B40-B41-B43</f>
        <v>3336.5794170000026</v>
      </c>
      <c r="C42" s="60">
        <f aca="true" t="shared" si="5" ref="C42:H42">+C37-C38-C39-C40-C41-C43</f>
        <v>3348.3485199999955</v>
      </c>
      <c r="D42" s="60">
        <f t="shared" si="5"/>
        <v>1322.4981871700002</v>
      </c>
      <c r="E42" s="68">
        <f t="shared" si="5"/>
        <v>1433.8074647800004</v>
      </c>
      <c r="F42" s="44">
        <f t="shared" si="5"/>
        <v>1669.6641300000003</v>
      </c>
      <c r="G42" s="44">
        <f t="shared" si="5"/>
        <v>1654.5344800000003</v>
      </c>
      <c r="H42" s="44">
        <f t="shared" si="5"/>
        <v>1650.51489244</v>
      </c>
    </row>
    <row r="43" spans="1:8" ht="15">
      <c r="A43" s="43" t="str">
        <f>HLOOKUP(INDICE!$F$2,Nombres!$C$3:$D$636,64,FALSE)</f>
        <v>Economic capital allocated</v>
      </c>
      <c r="B43" s="44">
        <v>539.8325830000001</v>
      </c>
      <c r="C43" s="44">
        <v>553.4734800000001</v>
      </c>
      <c r="D43" s="44">
        <v>73.3603486</v>
      </c>
      <c r="E43" s="45">
        <v>49.546503599999994</v>
      </c>
      <c r="F43" s="44">
        <v>58.007870000000004</v>
      </c>
      <c r="G43" s="44">
        <v>54.76252</v>
      </c>
      <c r="H43" s="44">
        <v>55.23211036</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Relevant business indicators</v>
      </c>
      <c r="B46" s="34"/>
      <c r="C46" s="34"/>
      <c r="D46" s="34"/>
      <c r="E46" s="34"/>
      <c r="F46" s="72"/>
      <c r="G46" s="72"/>
      <c r="H46" s="72"/>
    </row>
    <row r="47" spans="1:8" ht="15">
      <c r="A47" s="35" t="str">
        <f>HLOOKUP(INDICE!$F$2,Nombres!$C$3:$D$636,32,FALSE)</f>
        <v>(Million euros)</v>
      </c>
      <c r="B47" s="30"/>
      <c r="C47" s="30"/>
      <c r="D47" s="30"/>
      <c r="E47" s="30"/>
      <c r="F47" s="73"/>
      <c r="G47" s="44"/>
      <c r="H47" s="44"/>
    </row>
    <row r="48" spans="1:8" ht="15.75">
      <c r="A48" s="30"/>
      <c r="B48" s="55">
        <f aca="true" t="shared" si="6" ref="B48:H48">+B$30</f>
        <v>43190</v>
      </c>
      <c r="C48" s="55">
        <f t="shared" si="6"/>
        <v>43281</v>
      </c>
      <c r="D48" s="55">
        <f t="shared" si="6"/>
        <v>43373</v>
      </c>
      <c r="E48" s="71">
        <f t="shared" si="6"/>
        <v>43465</v>
      </c>
      <c r="F48" s="55">
        <f t="shared" si="6"/>
        <v>43555</v>
      </c>
      <c r="G48" s="55">
        <f t="shared" si="6"/>
        <v>43646</v>
      </c>
      <c r="H48" s="55">
        <f t="shared" si="6"/>
        <v>43738</v>
      </c>
    </row>
    <row r="49" spans="1:8" ht="15">
      <c r="A49" s="43" t="str">
        <f>HLOOKUP(INDICE!$F$2,Nombres!$C$3:$D$636,66,FALSE)</f>
        <v>Loans and advances to customers (gross) (*)</v>
      </c>
      <c r="B49" s="44">
        <v>14785.95111694</v>
      </c>
      <c r="C49" s="44">
        <v>14865.842525419997</v>
      </c>
      <c r="D49" s="44">
        <v>2052.174</v>
      </c>
      <c r="E49" s="45">
        <v>2103.299</v>
      </c>
      <c r="F49" s="44">
        <v>2185.3759999999997</v>
      </c>
      <c r="G49" s="44">
        <v>2131.284</v>
      </c>
      <c r="H49" s="44">
        <v>2103.848</v>
      </c>
    </row>
    <row r="50" spans="1:8" ht="15">
      <c r="A50" s="43" t="str">
        <f>HLOOKUP(INDICE!$F$2,Nombres!$C$3:$D$636,67,FALSE)</f>
        <v>Customer deposits under management (*)</v>
      </c>
      <c r="B50" s="44">
        <v>9046.773117230001</v>
      </c>
      <c r="C50" s="44">
        <v>9501.56150286</v>
      </c>
      <c r="D50" s="44">
        <v>14.068999999999999</v>
      </c>
      <c r="E50" s="45">
        <v>10.186999999999998</v>
      </c>
      <c r="F50" s="44">
        <v>10.806000000000001</v>
      </c>
      <c r="G50" s="44">
        <v>7.268</v>
      </c>
      <c r="H50" s="44">
        <v>9.171999999999999</v>
      </c>
    </row>
    <row r="51" spans="1:8" ht="15">
      <c r="A51" s="43" t="str">
        <f>HLOOKUP(INDICE!$F$2,Nombres!$C$3:$D$636,68,FALSE)</f>
        <v>Mutual funds</v>
      </c>
      <c r="B51" s="44">
        <v>1501.39164602</v>
      </c>
      <c r="C51" s="44">
        <v>1397.59056803</v>
      </c>
      <c r="D51" s="44">
        <v>0</v>
      </c>
      <c r="E51" s="45">
        <v>0</v>
      </c>
      <c r="F51" s="44">
        <v>0</v>
      </c>
      <c r="G51" s="44">
        <v>0</v>
      </c>
      <c r="H51" s="44">
        <v>0</v>
      </c>
    </row>
    <row r="52" spans="1:8" ht="15">
      <c r="A52" s="43" t="str">
        <f>HLOOKUP(INDICE!$F$2,Nombres!$C$3:$D$636,69,FALSE)</f>
        <v>Pension funds</v>
      </c>
      <c r="B52" s="44">
        <v>0</v>
      </c>
      <c r="C52" s="44">
        <v>0</v>
      </c>
      <c r="D52" s="44">
        <v>0</v>
      </c>
      <c r="E52" s="45">
        <v>0</v>
      </c>
      <c r="F52" s="44">
        <v>0</v>
      </c>
      <c r="G52" s="44">
        <v>0</v>
      </c>
      <c r="H52" s="44">
        <v>0</v>
      </c>
    </row>
    <row r="53" spans="1:8" ht="15">
      <c r="A53" s="43" t="str">
        <f>HLOOKUP(INDICE!$F$2,Nombres!$C$3:$D$636,70,FALSE)</f>
        <v>Other off balance-sheet funds</v>
      </c>
      <c r="B53" s="44">
        <v>0</v>
      </c>
      <c r="C53" s="44">
        <v>0</v>
      </c>
      <c r="D53" s="44">
        <v>0</v>
      </c>
      <c r="E53" s="45">
        <v>0</v>
      </c>
      <c r="F53" s="44">
        <v>0</v>
      </c>
      <c r="G53" s="44">
        <v>0</v>
      </c>
      <c r="H53" s="44">
        <v>0</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7" ref="C61:H61">+C$7</f>
        <v>2Q</v>
      </c>
      <c r="D61" s="39" t="str">
        <f t="shared" si="7"/>
        <v>3Q</v>
      </c>
      <c r="E61" s="40" t="str">
        <f t="shared" si="7"/>
        <v>4Q</v>
      </c>
      <c r="F61" s="39" t="str">
        <f t="shared" si="7"/>
        <v>1Q</v>
      </c>
      <c r="G61" s="39" t="str">
        <f t="shared" si="7"/>
        <v>2Q</v>
      </c>
      <c r="H61" s="39" t="str">
        <f t="shared" si="7"/>
        <v>3Q</v>
      </c>
    </row>
    <row r="62" spans="1:8" ht="15">
      <c r="A62" s="41" t="str">
        <f>HLOOKUP(INDICE!$F$2,Nombres!$C$3:$D$636,33,FALSE)</f>
        <v>Net interest income</v>
      </c>
      <c r="B62" s="41">
        <f>+B116/'Tipos de Cambio'!$G$9</f>
        <v>146.80657788003253</v>
      </c>
      <c r="C62" s="41">
        <f>+C116/'Tipos de Cambio'!$G$9</f>
        <v>152.65170974541815</v>
      </c>
      <c r="D62" s="41">
        <f>+D116/'Tipos de Cambio'!$G$9</f>
        <v>42.464406899617494</v>
      </c>
      <c r="E62" s="42">
        <f>+E116/'Tipos de Cambio'!$G$9</f>
        <v>46.446612891930954</v>
      </c>
      <c r="F62" s="41">
        <f>+F116/'Tipos de Cambio'!$G$9</f>
        <v>45.55976691092979</v>
      </c>
      <c r="G62" s="41">
        <f>+G116/'Tipos de Cambio'!$G$9</f>
        <v>46.56962123145558</v>
      </c>
      <c r="H62" s="41">
        <f>+H116/'Tipos de Cambio'!$G$9</f>
        <v>47.14061185761463</v>
      </c>
    </row>
    <row r="63" spans="1:8" ht="15">
      <c r="A63" s="43" t="str">
        <f>HLOOKUP(INDICE!$F$2,Nombres!$C$3:$D$636,34,FALSE)</f>
        <v>Net fees and commissions</v>
      </c>
      <c r="B63" s="44">
        <f>+B117/'Tipos de Cambio'!$G$9</f>
        <v>18.52719627407884</v>
      </c>
      <c r="C63" s="44">
        <f>+C117/'Tipos de Cambio'!$G$9</f>
        <v>24.08498166832455</v>
      </c>
      <c r="D63" s="44">
        <f>+D117/'Tipos de Cambio'!$G$9</f>
        <v>7.777617233446593</v>
      </c>
      <c r="E63" s="45">
        <f>+E117/'Tipos de Cambio'!$G$9</f>
        <v>7.793077588521569</v>
      </c>
      <c r="F63" s="44">
        <f>+F117/'Tipos de Cambio'!$G$9</f>
        <v>5.095098959872714</v>
      </c>
      <c r="G63" s="44">
        <f>+G117/'Tipos de Cambio'!$G$9</f>
        <v>4.447450120030679</v>
      </c>
      <c r="H63" s="44">
        <f>+H117/'Tipos de Cambio'!$G$9</f>
        <v>4.8204509200966115</v>
      </c>
    </row>
    <row r="64" spans="1:8" ht="15">
      <c r="A64" s="43" t="str">
        <f>HLOOKUP(INDICE!$F$2,Nombres!$C$3:$D$636,35,FALSE)</f>
        <v>Net trading income</v>
      </c>
      <c r="B64" s="44">
        <f>+B118/'Tipos de Cambio'!$G$9</f>
        <v>17.75464282240716</v>
      </c>
      <c r="C64" s="44">
        <f>+C118/'Tipos de Cambio'!$G$9</f>
        <v>18.438478672399867</v>
      </c>
      <c r="D64" s="44">
        <f>+D118/'Tipos de Cambio'!$G$9</f>
        <v>-0.09069524330858098</v>
      </c>
      <c r="E64" s="45">
        <f>+E118/'Tipos de Cambio'!$G$9</f>
        <v>0.1727281624244508</v>
      </c>
      <c r="F64" s="44">
        <f>+F118/'Tipos de Cambio'!$G$9</f>
        <v>0.3679411104445636</v>
      </c>
      <c r="G64" s="44">
        <f>+G118/'Tipos de Cambio'!$G$9</f>
        <v>0.36419590887111375</v>
      </c>
      <c r="H64" s="44">
        <f>+H118/'Tipos de Cambio'!$G$9</f>
        <v>0.3498629806843226</v>
      </c>
    </row>
    <row r="65" spans="1:8" ht="15">
      <c r="A65" s="43" t="str">
        <f>HLOOKUP(INDICE!$F$2,Nombres!$C$3:$D$636,36,FALSE)</f>
        <v>Other operating income and expenses</v>
      </c>
      <c r="B65" s="44">
        <f>+B119/'Tipos de Cambio'!$G$9</f>
        <v>4.331969030411545</v>
      </c>
      <c r="C65" s="44">
        <f>+C119/'Tipos de Cambio'!$G$9</f>
        <v>4.20226935884234</v>
      </c>
      <c r="D65" s="44">
        <f>+D119/'Tipos de Cambio'!$G$9</f>
        <v>-0.39985236471075064</v>
      </c>
      <c r="E65" s="45">
        <f>+E119/'Tipos de Cambio'!$G$9</f>
        <v>-0.36629243535009975</v>
      </c>
      <c r="F65" s="44">
        <f>+F119/'Tipos de Cambio'!$G$9</f>
        <v>0.052141387308988964</v>
      </c>
      <c r="G65" s="44">
        <f>+G119/'Tipos de Cambio'!$G$9</f>
        <v>-0.03926211633320574</v>
      </c>
      <c r="H65" s="44">
        <f>+H119/'Tipos de Cambio'!$G$9</f>
        <v>-0.035879270975783195</v>
      </c>
    </row>
    <row r="66" spans="1:8" ht="15">
      <c r="A66" s="41" t="str">
        <f>HLOOKUP(INDICE!$F$2,Nombres!$C$3:$D$636,37,FALSE)</f>
        <v>Gross income</v>
      </c>
      <c r="B66" s="41">
        <f aca="true" t="shared" si="8" ref="B66:H66">+SUM(B62:B65)</f>
        <v>187.4203860069301</v>
      </c>
      <c r="C66" s="41">
        <f t="shared" si="8"/>
        <v>199.3774394449849</v>
      </c>
      <c r="D66" s="41">
        <f t="shared" si="8"/>
        <v>49.75147652504475</v>
      </c>
      <c r="E66" s="42">
        <f t="shared" si="8"/>
        <v>54.046126207526875</v>
      </c>
      <c r="F66" s="41">
        <f t="shared" si="8"/>
        <v>51.07494836855605</v>
      </c>
      <c r="G66" s="41">
        <f t="shared" si="8"/>
        <v>51.342005144024164</v>
      </c>
      <c r="H66" s="41">
        <f t="shared" si="8"/>
        <v>52.27504648741978</v>
      </c>
    </row>
    <row r="67" spans="1:8" ht="15">
      <c r="A67" s="43" t="str">
        <f>HLOOKUP(INDICE!$F$2,Nombres!$C$3:$D$636,38,FALSE)</f>
        <v>Operating expenses</v>
      </c>
      <c r="B67" s="44">
        <f>+B121/'Tipos de Cambio'!$G$9</f>
        <v>-84.27057394671594</v>
      </c>
      <c r="C67" s="44">
        <f>+C121/'Tipos de Cambio'!$G$9</f>
        <v>-91.12640306926173</v>
      </c>
      <c r="D67" s="44">
        <f>+D121/'Tipos de Cambio'!$G$9</f>
        <v>-14.079279734092719</v>
      </c>
      <c r="E67" s="45">
        <f>+E121/'Tipos de Cambio'!$G$9</f>
        <v>-16.825069692572946</v>
      </c>
      <c r="F67" s="44">
        <f>+F121/'Tipos de Cambio'!$G$9</f>
        <v>-16.34091402268503</v>
      </c>
      <c r="G67" s="44">
        <f>+G121/'Tipos de Cambio'!$G$9</f>
        <v>-16.975778565362216</v>
      </c>
      <c r="H67" s="44">
        <f>+H121/'Tipos de Cambio'!$G$9</f>
        <v>-17.92530741195275</v>
      </c>
    </row>
    <row r="68" spans="1:8" ht="15">
      <c r="A68" s="43" t="str">
        <f>HLOOKUP(INDICE!$F$2,Nombres!$C$3:$D$636,39,FALSE)</f>
        <v>  Administration expenses</v>
      </c>
      <c r="B68" s="44">
        <f>+B122/'Tipos de Cambio'!$G$9</f>
        <v>-79.99528847647169</v>
      </c>
      <c r="C68" s="44">
        <f>+C122/'Tipos de Cambio'!$G$9</f>
        <v>-85.39079537097898</v>
      </c>
      <c r="D68" s="44">
        <f>+D122/'Tipos de Cambio'!$G$9</f>
        <v>-13.434847756991827</v>
      </c>
      <c r="E68" s="45">
        <f>+E122/'Tipos de Cambio'!$G$9</f>
        <v>-16.067015742315917</v>
      </c>
      <c r="F68" s="44">
        <f>+F122/'Tipos de Cambio'!$G$9</f>
        <v>-15.189868302845085</v>
      </c>
      <c r="G68" s="44">
        <f>+G122/'Tipos de Cambio'!$G$9</f>
        <v>-15.870970438136132</v>
      </c>
      <c r="H68" s="44">
        <f>+H122/'Tipos de Cambio'!$G$9</f>
        <v>-16.87416125901878</v>
      </c>
    </row>
    <row r="69" spans="1:8" ht="15">
      <c r="A69" s="46" t="str">
        <f>HLOOKUP(INDICE!$F$2,Nombres!$C$3:$D$636,40,FALSE)</f>
        <v>  Personnel expenses</v>
      </c>
      <c r="B69" s="44">
        <f>+B123/'Tipos de Cambio'!$G$9</f>
        <v>-43.35139466827682</v>
      </c>
      <c r="C69" s="44">
        <f>+C123/'Tipos de Cambio'!$G$9</f>
        <v>-51.54937464975868</v>
      </c>
      <c r="D69" s="44">
        <f>+D123/'Tipos de Cambio'!$G$9</f>
        <v>-4.673891686016983</v>
      </c>
      <c r="E69" s="45">
        <f>+E123/'Tipos de Cambio'!$G$9</f>
        <v>-7.3923610906969275</v>
      </c>
      <c r="F69" s="44">
        <f>+F123/'Tipos de Cambio'!$G$9</f>
        <v>-6.49504601913104</v>
      </c>
      <c r="G69" s="44">
        <f>+G123/'Tipos de Cambio'!$G$9</f>
        <v>-6.764658807013787</v>
      </c>
      <c r="H69" s="44">
        <f>+H123/'Tipos de Cambio'!$G$9</f>
        <v>-7.8932951738551695</v>
      </c>
    </row>
    <row r="70" spans="1:8" ht="15">
      <c r="A70" s="46" t="str">
        <f>HLOOKUP(INDICE!$F$2,Nombres!$C$3:$D$636,41,FALSE)</f>
        <v>  General and administrative expenses</v>
      </c>
      <c r="B70" s="44">
        <f>+B124/'Tipos de Cambio'!$G$9</f>
        <v>-36.64389380819487</v>
      </c>
      <c r="C70" s="44">
        <f>+C124/'Tipos de Cambio'!$G$9</f>
        <v>-33.841420721220274</v>
      </c>
      <c r="D70" s="44">
        <f>+D124/'Tipos de Cambio'!$G$9</f>
        <v>-8.760956070974846</v>
      </c>
      <c r="E70" s="45">
        <f>+E124/'Tipos de Cambio'!$G$9</f>
        <v>-8.674654651618988</v>
      </c>
      <c r="F70" s="44">
        <f>+F124/'Tipos de Cambio'!$G$9</f>
        <v>-8.694822283714045</v>
      </c>
      <c r="G70" s="44">
        <f>+G124/'Tipos de Cambio'!$G$9</f>
        <v>-9.106311631122344</v>
      </c>
      <c r="H70" s="44">
        <f>+H124/'Tipos de Cambio'!$G$9</f>
        <v>-8.98086608516361</v>
      </c>
    </row>
    <row r="71" spans="1:8" ht="15">
      <c r="A71" s="43" t="str">
        <f>HLOOKUP(INDICE!$F$2,Nombres!$C$3:$D$636,42,FALSE)</f>
        <v>  Depreciation</v>
      </c>
      <c r="B71" s="44">
        <f>+B125/'Tipos de Cambio'!$G$9</f>
        <v>-4.275285470244262</v>
      </c>
      <c r="C71" s="44">
        <f>+C125/'Tipos de Cambio'!$G$9</f>
        <v>-5.735607698282754</v>
      </c>
      <c r="D71" s="44">
        <f>+D125/'Tipos de Cambio'!$G$9</f>
        <v>-0.644431977100889</v>
      </c>
      <c r="E71" s="45">
        <f>+E125/'Tipos de Cambio'!$G$9</f>
        <v>-0.7580539502570288</v>
      </c>
      <c r="F71" s="44">
        <f>+F125/'Tipos de Cambio'!$G$9</f>
        <v>-1.1510457198399449</v>
      </c>
      <c r="G71" s="44">
        <f>+G125/'Tipos de Cambio'!$G$9</f>
        <v>-1.1048081272260868</v>
      </c>
      <c r="H71" s="44">
        <f>+H125/'Tipos de Cambio'!$G$9</f>
        <v>-1.051146152933968</v>
      </c>
    </row>
    <row r="72" spans="1:8" ht="15">
      <c r="A72" s="41" t="str">
        <f>HLOOKUP(INDICE!$F$2,Nombres!$C$3:$D$636,43,FALSE)</f>
        <v>Operating income</v>
      </c>
      <c r="B72" s="41">
        <f aca="true" t="shared" si="9" ref="B72:H72">+B66+B67</f>
        <v>103.14981206021416</v>
      </c>
      <c r="C72" s="41">
        <f t="shared" si="9"/>
        <v>108.25103637572317</v>
      </c>
      <c r="D72" s="41">
        <f t="shared" si="9"/>
        <v>35.67219679095203</v>
      </c>
      <c r="E72" s="42">
        <f t="shared" si="9"/>
        <v>37.22105651495393</v>
      </c>
      <c r="F72" s="41">
        <f t="shared" si="9"/>
        <v>34.734034345871024</v>
      </c>
      <c r="G72" s="41">
        <f t="shared" si="9"/>
        <v>34.36622657866195</v>
      </c>
      <c r="H72" s="41">
        <f t="shared" si="9"/>
        <v>34.34973907546703</v>
      </c>
    </row>
    <row r="73" spans="1:8" ht="15">
      <c r="A73" s="43" t="str">
        <f>HLOOKUP(INDICE!$F$2,Nombres!$C$3:$D$636,44,FALSE)</f>
        <v>Impaiment on financial assets not measured at fair value through profit or loss</v>
      </c>
      <c r="B73" s="44">
        <f>+B127/'Tipos de Cambio'!$G$9</f>
        <v>-32.53828501263656</v>
      </c>
      <c r="C73" s="44">
        <f>+C127/'Tipos de Cambio'!$G$9</f>
        <v>-21.821249187788315</v>
      </c>
      <c r="D73" s="44">
        <f>+D127/'Tipos de Cambio'!$G$9</f>
        <v>-14.04954223485194</v>
      </c>
      <c r="E73" s="45">
        <f>+E127/'Tipos de Cambio'!$G$9</f>
        <v>-6.982502251642191</v>
      </c>
      <c r="F73" s="44">
        <f>+F127/'Tipos de Cambio'!$G$9</f>
        <v>-12.300448406118662</v>
      </c>
      <c r="G73" s="44">
        <f>+G127/'Tipos de Cambio'!$G$9</f>
        <v>-11.588617827655263</v>
      </c>
      <c r="H73" s="44">
        <f>+H127/'Tipos de Cambio'!$G$9</f>
        <v>-14.00593376622607</v>
      </c>
    </row>
    <row r="74" spans="1:8" ht="15">
      <c r="A74" s="43" t="str">
        <f>HLOOKUP(INDICE!$F$2,Nombres!$C$3:$D$636,45,FALSE)</f>
        <v>Provisions or reversal of provisions and other results</v>
      </c>
      <c r="B74" s="44">
        <f>+B128/'Tipos de Cambio'!$G$9</f>
        <v>1.6198047871532197</v>
      </c>
      <c r="C74" s="44">
        <f>+C128/'Tipos de Cambio'!$G$9</f>
        <v>0.4700777252055902</v>
      </c>
      <c r="D74" s="44">
        <f>+D128/'Tipos de Cambio'!$G$9</f>
        <v>1.1879108874241968</v>
      </c>
      <c r="E74" s="45">
        <f>+E128/'Tipos de Cambio'!$G$9</f>
        <v>-0.27874725189901894</v>
      </c>
      <c r="F74" s="44">
        <f>+F128/'Tipos de Cambio'!$G$9</f>
        <v>-0.5440412675824697</v>
      </c>
      <c r="G74" s="44">
        <f>+G128/'Tipos de Cambio'!$G$9</f>
        <v>-0.28617635377955697</v>
      </c>
      <c r="H74" s="44">
        <f>+H128/'Tipos de Cambio'!$G$9</f>
        <v>-0.38478237863797327</v>
      </c>
    </row>
    <row r="75" spans="1:8" ht="15">
      <c r="A75" s="41" t="str">
        <f>HLOOKUP(INDICE!$F$2,Nombres!$C$3:$D$636,46,FALSE)</f>
        <v>Profit/(loss) before tax</v>
      </c>
      <c r="B75" s="41">
        <f aca="true" t="shared" si="10" ref="B75:H75">+B72+B73+B74</f>
        <v>72.23133183473081</v>
      </c>
      <c r="C75" s="41">
        <f t="shared" si="10"/>
        <v>86.89986491314045</v>
      </c>
      <c r="D75" s="41">
        <f t="shared" si="10"/>
        <v>22.810565443524283</v>
      </c>
      <c r="E75" s="42">
        <f t="shared" si="10"/>
        <v>29.959807011412718</v>
      </c>
      <c r="F75" s="41">
        <f t="shared" si="10"/>
        <v>21.889544672169894</v>
      </c>
      <c r="G75" s="41">
        <f t="shared" si="10"/>
        <v>22.491432397227133</v>
      </c>
      <c r="H75" s="41">
        <f t="shared" si="10"/>
        <v>19.959022930602984</v>
      </c>
    </row>
    <row r="76" spans="1:8" ht="15">
      <c r="A76" s="43" t="str">
        <f>HLOOKUP(INDICE!$F$2,Nombres!$C$3:$D$636,47,FALSE)</f>
        <v>Income tax</v>
      </c>
      <c r="B76" s="44">
        <f>+B130/'Tipos de Cambio'!$G$9</f>
        <v>-17.096290594461678</v>
      </c>
      <c r="C76" s="44">
        <f>+C130/'Tipos de Cambio'!$G$9</f>
        <v>-16.961048836711555</v>
      </c>
      <c r="D76" s="44">
        <f>+D130/'Tipos de Cambio'!$G$9</f>
        <v>-6.417649474618797</v>
      </c>
      <c r="E76" s="45">
        <f>+E130/'Tipos de Cambio'!$G$9</f>
        <v>-8.405935238229452</v>
      </c>
      <c r="F76" s="44">
        <f>+F130/'Tipos de Cambio'!$G$9</f>
        <v>-5.492554063133686</v>
      </c>
      <c r="G76" s="44">
        <f>+G130/'Tipos de Cambio'!$G$9</f>
        <v>-5.774826614372673</v>
      </c>
      <c r="H76" s="44">
        <f>+H130/'Tipos de Cambio'!$G$9</f>
        <v>-5.66961932249364</v>
      </c>
    </row>
    <row r="77" spans="1:8" ht="15">
      <c r="A77" s="41" t="str">
        <f>HLOOKUP(INDICE!$F$2,Nombres!$C$3:$D$636,48,FALSE)</f>
        <v>Profit/(loss) for the year</v>
      </c>
      <c r="B77" s="41">
        <f aca="true" t="shared" si="11" ref="B77:H77">+B75+B76</f>
        <v>55.13504124026913</v>
      </c>
      <c r="C77" s="41">
        <f t="shared" si="11"/>
        <v>69.93881607642889</v>
      </c>
      <c r="D77" s="41">
        <f t="shared" si="11"/>
        <v>16.392915968905484</v>
      </c>
      <c r="E77" s="42">
        <f t="shared" si="11"/>
        <v>21.553871773183268</v>
      </c>
      <c r="F77" s="41">
        <f t="shared" si="11"/>
        <v>16.39699060903621</v>
      </c>
      <c r="G77" s="41">
        <f t="shared" si="11"/>
        <v>16.716605782854458</v>
      </c>
      <c r="H77" s="41">
        <f t="shared" si="11"/>
        <v>14.289403608109344</v>
      </c>
    </row>
    <row r="78" spans="1:8" ht="15">
      <c r="A78" s="43" t="str">
        <f>HLOOKUP(INDICE!$F$2,Nombres!$C$3:$D$636,49,FALSE)</f>
        <v>Non-controlling interests</v>
      </c>
      <c r="B78" s="44">
        <f>+B132/'Tipos de Cambio'!$G$9</f>
        <v>-11.703041117934378</v>
      </c>
      <c r="C78" s="44">
        <f>+C132/'Tipos de Cambio'!$G$9</f>
        <v>-16.768850400107965</v>
      </c>
      <c r="D78" s="44">
        <f>+D132/'Tipos de Cambio'!$G$9</f>
        <v>-0.10010978259814465</v>
      </c>
      <c r="E78" s="45">
        <f>+E132/'Tipos de Cambio'!$G$9</f>
        <v>-0.026826344283096954</v>
      </c>
      <c r="F78" s="44">
        <f>+F132/'Tipos de Cambio'!$G$9</f>
        <v>0</v>
      </c>
      <c r="G78" s="44">
        <f>+G132/'Tipos de Cambio'!$G$9</f>
        <v>0</v>
      </c>
      <c r="H78" s="44">
        <f>+H132/'Tipos de Cambio'!$G$9</f>
        <v>0</v>
      </c>
    </row>
    <row r="79" spans="1:8" ht="15">
      <c r="A79" s="47" t="str">
        <f>HLOOKUP(INDICE!$F$2,Nombres!$C$3:$D$636,50,FALSE)</f>
        <v>Net attributable profit</v>
      </c>
      <c r="B79" s="47">
        <f aca="true" t="shared" si="12" ref="B79:H79">+B77+B78</f>
        <v>43.432000122334756</v>
      </c>
      <c r="C79" s="47">
        <f t="shared" si="12"/>
        <v>53.16996567632093</v>
      </c>
      <c r="D79" s="47">
        <f t="shared" si="12"/>
        <v>16.292806186307338</v>
      </c>
      <c r="E79" s="74">
        <f t="shared" si="12"/>
        <v>21.52704542890017</v>
      </c>
      <c r="F79" s="47">
        <f t="shared" si="12"/>
        <v>16.39699060903621</v>
      </c>
      <c r="G79" s="47">
        <f t="shared" si="12"/>
        <v>16.716605782854458</v>
      </c>
      <c r="H79" s="47">
        <f t="shared" si="12"/>
        <v>14.289403608109344</v>
      </c>
    </row>
    <row r="80" spans="1:8" ht="15">
      <c r="A80" s="65"/>
      <c r="B80" s="87"/>
      <c r="C80" s="87"/>
      <c r="D80" s="87"/>
      <c r="E80" s="87"/>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3" ref="B84:H84">+B$30</f>
        <v>43190</v>
      </c>
      <c r="C84" s="55">
        <f t="shared" si="13"/>
        <v>43281</v>
      </c>
      <c r="D84" s="55">
        <f t="shared" si="13"/>
        <v>43373</v>
      </c>
      <c r="E84" s="71">
        <f t="shared" si="13"/>
        <v>43465</v>
      </c>
      <c r="F84" s="55">
        <f t="shared" si="13"/>
        <v>43555</v>
      </c>
      <c r="G84" s="55">
        <f t="shared" si="13"/>
        <v>43646</v>
      </c>
      <c r="H84" s="55">
        <f t="shared" si="13"/>
        <v>43738</v>
      </c>
    </row>
    <row r="85" spans="1:8" ht="15">
      <c r="A85" s="43" t="str">
        <f>HLOOKUP(INDICE!$F$2,Nombres!$C$3:$D$636,52,FALSE)</f>
        <v>Cash, cash balances at central banks and other demand deposits</v>
      </c>
      <c r="B85" s="44">
        <v>658.1209112497272</v>
      </c>
      <c r="C85" s="44">
        <v>543.5763637560543</v>
      </c>
      <c r="D85" s="44">
        <v>38.458631639960174</v>
      </c>
      <c r="E85" s="45">
        <v>27.288582833460616</v>
      </c>
      <c r="F85" s="44">
        <v>25.243649488699724</v>
      </c>
      <c r="G85" s="44">
        <v>36.475521555084555</v>
      </c>
      <c r="H85" s="44">
        <v>24.968</v>
      </c>
    </row>
    <row r="86" spans="1:8" ht="15">
      <c r="A86" s="43" t="str">
        <f>HLOOKUP(INDICE!$F$2,Nombres!$C$3:$D$636,53,FALSE)</f>
        <v>Financial assets designated at fair value </v>
      </c>
      <c r="B86" s="60">
        <v>3902.437487573749</v>
      </c>
      <c r="C86" s="60">
        <v>4190.395891245048</v>
      </c>
      <c r="D86" s="60">
        <v>0</v>
      </c>
      <c r="E86" s="68">
        <v>0</v>
      </c>
      <c r="F86" s="44">
        <v>0</v>
      </c>
      <c r="G86" s="44">
        <v>0</v>
      </c>
      <c r="H86" s="44">
        <v>0</v>
      </c>
    </row>
    <row r="87" spans="1:8" ht="15">
      <c r="A87" s="43" t="str">
        <f>HLOOKUP(INDICE!$F$2,Nombres!$C$3:$D$636,54,FALSE)</f>
        <v>Financial assets at amortized cost</v>
      </c>
      <c r="B87" s="44">
        <v>14543.146510667328</v>
      </c>
      <c r="C87" s="44">
        <v>14857.664095016655</v>
      </c>
      <c r="D87" s="44">
        <v>1931.5866878915347</v>
      </c>
      <c r="E87" s="45">
        <v>2098.4723878191407</v>
      </c>
      <c r="F87" s="44">
        <v>2133.5357719310705</v>
      </c>
      <c r="G87" s="44">
        <v>2032.01082969533</v>
      </c>
      <c r="H87" s="44">
        <v>2076.5119999999997</v>
      </c>
    </row>
    <row r="88" spans="1:8" ht="15">
      <c r="A88" s="43" t="str">
        <f>HLOOKUP(INDICE!$F$2,Nombres!$C$3:$D$636,55,FALSE)</f>
        <v>    of which loans and advances to customers</v>
      </c>
      <c r="B88" s="44">
        <v>14029.907571118276</v>
      </c>
      <c r="C88" s="44">
        <v>14359.208455841082</v>
      </c>
      <c r="D88" s="44">
        <v>1931.5866878915347</v>
      </c>
      <c r="E88" s="45">
        <v>2063.1396885186314</v>
      </c>
      <c r="F88" s="44">
        <v>2062.6747909837172</v>
      </c>
      <c r="G88" s="44">
        <v>2031.162926069767</v>
      </c>
      <c r="H88" s="44">
        <v>2043.33</v>
      </c>
    </row>
    <row r="89" spans="1:8" ht="15">
      <c r="A89" s="43" t="str">
        <f>HLOOKUP(INDICE!$F$2,Nombres!$C$3:$D$636,56,FALSE)</f>
        <v>Tangible assets</v>
      </c>
      <c r="B89" s="44">
        <v>85.61610639770024</v>
      </c>
      <c r="C89" s="44">
        <v>84.21592173318427</v>
      </c>
      <c r="D89" s="44">
        <v>2.1317994811638594</v>
      </c>
      <c r="E89" s="45">
        <v>2.1555010458011137</v>
      </c>
      <c r="F89" s="44">
        <v>14.759032601552576</v>
      </c>
      <c r="G89" s="44">
        <v>14.294911008327547</v>
      </c>
      <c r="H89" s="44">
        <v>14.113999999999999</v>
      </c>
    </row>
    <row r="90" spans="1:8" ht="15">
      <c r="A90" s="43" t="str">
        <f>HLOOKUP(INDICE!$F$2,Nombres!$C$3:$D$636,57,FALSE)</f>
        <v>Other assets</v>
      </c>
      <c r="B90" s="60">
        <f>+B91-B89-B87-B86-B85</f>
        <v>1132.1742243760232</v>
      </c>
      <c r="C90" s="60">
        <f aca="true" t="shared" si="14" ref="C90:H90">+C91-C89-C87-C86-C85</f>
        <v>1186.2154953010618</v>
      </c>
      <c r="D90" s="60">
        <f t="shared" si="14"/>
        <v>846.7948780686756</v>
      </c>
      <c r="E90" s="68">
        <f t="shared" si="14"/>
        <v>1015.5641348790782</v>
      </c>
      <c r="F90" s="44">
        <f t="shared" si="14"/>
        <v>1131.906727706631</v>
      </c>
      <c r="G90" s="44">
        <f t="shared" si="14"/>
        <v>1135.99014203746</v>
      </c>
      <c r="H90" s="44">
        <f t="shared" si="14"/>
        <v>1183.2180028</v>
      </c>
    </row>
    <row r="91" spans="1:8" ht="15">
      <c r="A91" s="47" t="str">
        <f>HLOOKUP(INDICE!$F$2,Nombres!$C$3:$D$636,58,FALSE)</f>
        <v>Total assets / Liabilities and equity</v>
      </c>
      <c r="B91" s="47">
        <v>20321.49524026453</v>
      </c>
      <c r="C91" s="47">
        <v>20862.067767052</v>
      </c>
      <c r="D91" s="47">
        <v>2818.9719970813344</v>
      </c>
      <c r="E91" s="47">
        <v>3143.4806065774806</v>
      </c>
      <c r="F91" s="53">
        <v>3305.4451817279537</v>
      </c>
      <c r="G91" s="53">
        <v>3218.771404296202</v>
      </c>
      <c r="H91" s="53">
        <v>3298.8120028</v>
      </c>
    </row>
    <row r="92" spans="1:8" ht="15">
      <c r="A92" s="43" t="str">
        <f>HLOOKUP(INDICE!$F$2,Nombres!$C$3:$D$636,59,FALSE)</f>
        <v>Financial liabilities held for trading and designated at fair value through profit or loss</v>
      </c>
      <c r="B92" s="60">
        <v>1933.8908320376884</v>
      </c>
      <c r="C92" s="60">
        <v>2040.0377021115921</v>
      </c>
      <c r="D92" s="60">
        <v>0</v>
      </c>
      <c r="E92" s="68">
        <v>0</v>
      </c>
      <c r="F92" s="44">
        <v>0</v>
      </c>
      <c r="G92" s="44">
        <v>0</v>
      </c>
      <c r="H92" s="44">
        <v>0</v>
      </c>
    </row>
    <row r="93" spans="1:8" ht="15">
      <c r="A93" s="43" t="str">
        <f>HLOOKUP(INDICE!$F$2,Nombres!$C$3:$D$636,60,FALSE)</f>
        <v>Deposits from central banks and credit institutions</v>
      </c>
      <c r="B93" s="60">
        <v>1753.575420669954</v>
      </c>
      <c r="C93" s="60">
        <v>1450.3217032043112</v>
      </c>
      <c r="D93" s="60">
        <v>549.3191833070106</v>
      </c>
      <c r="E93" s="68">
        <v>591.3029667095466</v>
      </c>
      <c r="F93" s="44">
        <v>532.1899342433336</v>
      </c>
      <c r="G93" s="44">
        <v>501.69458838966113</v>
      </c>
      <c r="H93" s="44">
        <v>542.526</v>
      </c>
    </row>
    <row r="94" spans="1:8" ht="15">
      <c r="A94" s="43" t="str">
        <f>HLOOKUP(INDICE!$F$2,Nombres!$C$3:$D$636,61,FALSE)</f>
        <v>Deposits from customers</v>
      </c>
      <c r="B94" s="60">
        <v>8294.577813668597</v>
      </c>
      <c r="C94" s="60">
        <v>9189.080347865962</v>
      </c>
      <c r="D94" s="60">
        <v>13.632857682042877</v>
      </c>
      <c r="E94" s="68">
        <v>10.255996802230708</v>
      </c>
      <c r="F94" s="44">
        <v>10.464280971876985</v>
      </c>
      <c r="G94" s="44">
        <v>7.116124192364699</v>
      </c>
      <c r="H94" s="44">
        <v>9.172</v>
      </c>
    </row>
    <row r="95" spans="1:8" ht="15">
      <c r="A95" s="43" t="str">
        <f>HLOOKUP(INDICE!$F$2,Nombres!$C$3:$D$636,62,FALSE)</f>
        <v>Debt certificates</v>
      </c>
      <c r="B95" s="44">
        <v>4681.2465043632255</v>
      </c>
      <c r="C95" s="44">
        <v>4453.164898502447</v>
      </c>
      <c r="D95" s="44">
        <v>903.4333641229035</v>
      </c>
      <c r="E95" s="45">
        <v>1048.5208816755483</v>
      </c>
      <c r="F95" s="44">
        <v>1089.7532804823288</v>
      </c>
      <c r="G95" s="44">
        <v>1036.3820272072408</v>
      </c>
      <c r="H95" s="44">
        <v>1041.367</v>
      </c>
    </row>
    <row r="96" spans="1:8" ht="15">
      <c r="A96" s="43" t="str">
        <f>HLOOKUP(INDICE!$F$2,Nombres!$C$3:$D$636,63,FALSE)</f>
        <v>Other liabilities</v>
      </c>
      <c r="B96" s="60">
        <f>+B91-B92-B93-B94-B95-B97</f>
        <v>3148.759833451818</v>
      </c>
      <c r="C96" s="60">
        <f aca="true" t="shared" si="15" ref="C96:H96">+C91-C92-C93-C94-C95-C97</f>
        <v>3200.4387444470794</v>
      </c>
      <c r="D96" s="60">
        <f t="shared" si="15"/>
        <v>1281.5004314768867</v>
      </c>
      <c r="E96" s="68">
        <f t="shared" si="15"/>
        <v>1443.5186780993618</v>
      </c>
      <c r="F96" s="44">
        <f t="shared" si="15"/>
        <v>1616.8642036817087</v>
      </c>
      <c r="G96" s="44">
        <f t="shared" si="15"/>
        <v>1619.960489849966</v>
      </c>
      <c r="H96" s="44">
        <f t="shared" si="15"/>
        <v>1650.51489244</v>
      </c>
    </row>
    <row r="97" spans="1:8" ht="15">
      <c r="A97" s="43" t="str">
        <f>HLOOKUP(INDICE!$F$2,Nombres!$C$3:$D$636,64,FALSE)</f>
        <v>Economic capital allocated</v>
      </c>
      <c r="B97" s="44">
        <v>509.4448360732488</v>
      </c>
      <c r="C97" s="44">
        <v>529.0243709206106</v>
      </c>
      <c r="D97" s="44">
        <v>71.08616049249083</v>
      </c>
      <c r="E97" s="45">
        <v>49.882083290793375</v>
      </c>
      <c r="F97" s="44">
        <v>56.1734823487057</v>
      </c>
      <c r="G97" s="44">
        <v>53.6181746569697</v>
      </c>
      <c r="H97" s="44">
        <v>55.23211036</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6" ref="B102:H102">+B$30</f>
        <v>43190</v>
      </c>
      <c r="C102" s="55">
        <f t="shared" si="16"/>
        <v>43281</v>
      </c>
      <c r="D102" s="55">
        <f t="shared" si="16"/>
        <v>43373</v>
      </c>
      <c r="E102" s="71">
        <f t="shared" si="16"/>
        <v>43465</v>
      </c>
      <c r="F102" s="55">
        <f t="shared" si="16"/>
        <v>43555</v>
      </c>
      <c r="G102" s="55">
        <f t="shared" si="16"/>
        <v>43646</v>
      </c>
      <c r="H102" s="55">
        <f t="shared" si="16"/>
        <v>43738</v>
      </c>
    </row>
    <row r="103" spans="1:8" ht="15">
      <c r="A103" s="43" t="str">
        <f>HLOOKUP(INDICE!$F$2,Nombres!$C$3:$D$636,66,FALSE)</f>
        <v>Loans and advances to customers (gross) (*)</v>
      </c>
      <c r="B103" s="44">
        <v>13953.634293609444</v>
      </c>
      <c r="C103" s="44">
        <v>14209.159561204584</v>
      </c>
      <c r="D103" s="44">
        <v>1988.5561220263462</v>
      </c>
      <c r="E103" s="45">
        <v>2117.544695998335</v>
      </c>
      <c r="F103" s="44">
        <v>2116.2676747359465</v>
      </c>
      <c r="G103" s="44">
        <v>2086.7476105118058</v>
      </c>
      <c r="H103" s="44">
        <v>2103.848</v>
      </c>
    </row>
    <row r="104" spans="1:8" ht="15">
      <c r="A104" s="43" t="str">
        <f>HLOOKUP(INDICE!$F$2,Nombres!$C$3:$D$636,67,FALSE)</f>
        <v>Customer deposits under management (*)</v>
      </c>
      <c r="B104" s="44">
        <v>8537.520692223778</v>
      </c>
      <c r="C104" s="44">
        <v>9081.840013028268</v>
      </c>
      <c r="D104" s="44">
        <v>13.632857682042875</v>
      </c>
      <c r="E104" s="45">
        <v>10.255996802230708</v>
      </c>
      <c r="F104" s="44">
        <v>10.464280971876985</v>
      </c>
      <c r="G104" s="44">
        <v>7.116124192364699</v>
      </c>
      <c r="H104" s="44">
        <v>9.171999999999999</v>
      </c>
    </row>
    <row r="105" spans="1:8" ht="15">
      <c r="A105" s="43" t="str">
        <f>HLOOKUP(INDICE!$F$2,Nombres!$C$3:$D$636,68,FALSE)</f>
        <v>Mutual funds</v>
      </c>
      <c r="B105" s="44">
        <v>1416.8767226642265</v>
      </c>
      <c r="C105" s="44">
        <v>1335.853474057419</v>
      </c>
      <c r="D105" s="44">
        <v>0</v>
      </c>
      <c r="E105" s="45">
        <v>0</v>
      </c>
      <c r="F105" s="44">
        <v>0</v>
      </c>
      <c r="G105" s="44">
        <v>0</v>
      </c>
      <c r="H105" s="44">
        <v>0</v>
      </c>
    </row>
    <row r="106" spans="1:8" ht="15">
      <c r="A106" s="43" t="str">
        <f>HLOOKUP(INDICE!$F$2,Nombres!$C$3:$D$636,69,FALSE)</f>
        <v>Pension funds</v>
      </c>
      <c r="B106" s="44">
        <v>0</v>
      </c>
      <c r="C106" s="44">
        <v>0</v>
      </c>
      <c r="D106" s="44">
        <v>0</v>
      </c>
      <c r="E106" s="45">
        <v>0</v>
      </c>
      <c r="F106" s="44">
        <v>0</v>
      </c>
      <c r="G106" s="44">
        <v>0</v>
      </c>
      <c r="H106" s="44">
        <v>0</v>
      </c>
    </row>
    <row r="107" spans="1:8" ht="15">
      <c r="A107" s="43" t="str">
        <f>HLOOKUP(INDICE!$F$2,Nombres!$C$3:$D$636,70,FALSE)</f>
        <v>Other off balance-sheet funds</v>
      </c>
      <c r="B107" s="44">
        <v>0</v>
      </c>
      <c r="C107" s="44">
        <v>0</v>
      </c>
      <c r="D107" s="44">
        <v>0</v>
      </c>
      <c r="E107" s="45">
        <v>0</v>
      </c>
      <c r="F107" s="44">
        <v>0</v>
      </c>
      <c r="G107" s="44">
        <v>0</v>
      </c>
      <c r="H107" s="44">
        <v>0</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HLOOKUP(INDICE!$F$2,Nombres!$C$3:$D$636,81,FALSE)</f>
        <v>(Million Chilean pesos)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7" ref="C115:H115">+C$7</f>
        <v>2Q</v>
      </c>
      <c r="D115" s="39" t="str">
        <f t="shared" si="17"/>
        <v>3Q</v>
      </c>
      <c r="E115" s="40" t="str">
        <f t="shared" si="17"/>
        <v>4Q</v>
      </c>
      <c r="F115" s="39" t="str">
        <f t="shared" si="17"/>
        <v>1Q</v>
      </c>
      <c r="G115" s="39" t="str">
        <f t="shared" si="17"/>
        <v>2Q</v>
      </c>
      <c r="H115" s="39" t="str">
        <f t="shared" si="17"/>
        <v>3Q</v>
      </c>
    </row>
    <row r="116" spans="1:8" ht="15">
      <c r="A116" s="41" t="str">
        <f>HLOOKUP(INDICE!$F$2,Nombres!$C$3:$D$636,33,FALSE)</f>
        <v>Net interest income</v>
      </c>
      <c r="B116" s="41">
        <v>113105.84752035528</v>
      </c>
      <c r="C116" s="41">
        <v>117609.17838638043</v>
      </c>
      <c r="D116" s="41">
        <v>32716.331932724122</v>
      </c>
      <c r="E116" s="42">
        <v>35784.387807777064</v>
      </c>
      <c r="F116" s="52">
        <v>35101.1250565458</v>
      </c>
      <c r="G116" s="52">
        <v>35879.1585101183</v>
      </c>
      <c r="H116" s="52">
        <v>36319.07325801654</v>
      </c>
    </row>
    <row r="117" spans="1:8" ht="15">
      <c r="A117" s="43" t="str">
        <f>HLOOKUP(INDICE!$F$2,Nombres!$C$3:$D$636,34,FALSE)</f>
        <v>Net fees and commissions</v>
      </c>
      <c r="B117" s="44">
        <v>14274.116780162843</v>
      </c>
      <c r="C117" s="44">
        <v>18556.06406365655</v>
      </c>
      <c r="D117" s="44">
        <v>5992.197363232365</v>
      </c>
      <c r="E117" s="45">
        <v>6004.108658958839</v>
      </c>
      <c r="F117" s="44">
        <v>3925.4745555571303</v>
      </c>
      <c r="G117" s="44">
        <v>3426.4991555190677</v>
      </c>
      <c r="H117" s="44">
        <v>3713.874368717645</v>
      </c>
    </row>
    <row r="118" spans="1:8" ht="15">
      <c r="A118" s="43" t="str">
        <f>HLOOKUP(INDICE!$F$2,Nombres!$C$3:$D$636,35,FALSE)</f>
        <v>Net trading income</v>
      </c>
      <c r="B118" s="44">
        <v>13678.909711324915</v>
      </c>
      <c r="C118" s="44">
        <v>14205.765077720236</v>
      </c>
      <c r="D118" s="44">
        <v>-69.87535918768334</v>
      </c>
      <c r="E118" s="45">
        <v>133.07690625154407</v>
      </c>
      <c r="F118" s="44">
        <v>283.47701945903975</v>
      </c>
      <c r="G118" s="44">
        <v>280.5915615714117</v>
      </c>
      <c r="H118" s="44">
        <v>269.5488820578264</v>
      </c>
    </row>
    <row r="119" spans="1:8" ht="15">
      <c r="A119" s="43" t="str">
        <f>HLOOKUP(INDICE!$F$2,Nombres!$C$3:$D$636,36,FALSE)</f>
        <v>Other operating income and expenses</v>
      </c>
      <c r="B119" s="44">
        <v>3337.527757216875</v>
      </c>
      <c r="C119" s="44">
        <v>3237.6017764618814</v>
      </c>
      <c r="D119" s="44">
        <v>-308.06276698708393</v>
      </c>
      <c r="E119" s="45">
        <v>-282.20681211180886</v>
      </c>
      <c r="F119" s="44">
        <v>40.171877089115256</v>
      </c>
      <c r="G119" s="44">
        <v>-30.24915509534548</v>
      </c>
      <c r="H119" s="44">
        <v>-27.642871393982688</v>
      </c>
    </row>
    <row r="120" spans="1:8" ht="15">
      <c r="A120" s="41" t="str">
        <f>HLOOKUP(INDICE!$F$2,Nombres!$C$3:$D$636,37,FALSE)</f>
        <v>Gross income</v>
      </c>
      <c r="B120" s="41">
        <f aca="true" t="shared" si="18" ref="B120:H120">+SUM(B116:B119)</f>
        <v>144396.40176905994</v>
      </c>
      <c r="C120" s="41">
        <f t="shared" si="18"/>
        <v>153608.60930421908</v>
      </c>
      <c r="D120" s="41">
        <f t="shared" si="18"/>
        <v>38330.59116978173</v>
      </c>
      <c r="E120" s="42">
        <f t="shared" si="18"/>
        <v>41639.36656087564</v>
      </c>
      <c r="F120" s="52">
        <f t="shared" si="18"/>
        <v>39350.248508651086</v>
      </c>
      <c r="G120" s="52">
        <f t="shared" si="18"/>
        <v>39556.000072113435</v>
      </c>
      <c r="H120" s="52">
        <f t="shared" si="18"/>
        <v>40274.85363739803</v>
      </c>
    </row>
    <row r="121" spans="1:8" ht="15">
      <c r="A121" s="43" t="str">
        <f>HLOOKUP(INDICE!$F$2,Nombres!$C$3:$D$636,38,FALSE)</f>
        <v>Operating expenses</v>
      </c>
      <c r="B121" s="44">
        <v>-64925.528712065134</v>
      </c>
      <c r="C121" s="44">
        <v>-70207.54246484087</v>
      </c>
      <c r="D121" s="44">
        <v>-10847.258275457094</v>
      </c>
      <c r="E121" s="45">
        <v>-12962.72820092988</v>
      </c>
      <c r="F121" s="44">
        <v>-12589.714687739706</v>
      </c>
      <c r="G121" s="44">
        <v>-13078.840537528296</v>
      </c>
      <c r="H121" s="44">
        <v>-13810.396755849866</v>
      </c>
    </row>
    <row r="122" spans="1:8" ht="15">
      <c r="A122" s="43" t="str">
        <f>HLOOKUP(INDICE!$F$2,Nombres!$C$3:$D$636,39,FALSE)</f>
        <v>  Administration expenses</v>
      </c>
      <c r="B122" s="44">
        <v>-61631.67230940044</v>
      </c>
      <c r="C122" s="44">
        <v>-65788.59353811992</v>
      </c>
      <c r="D122" s="44">
        <v>-10350.761279261338</v>
      </c>
      <c r="E122" s="45">
        <v>-12378.692146496136</v>
      </c>
      <c r="F122" s="44">
        <v>-11702.901551998859</v>
      </c>
      <c r="G122" s="44">
        <v>-12227.650751745006</v>
      </c>
      <c r="H122" s="44">
        <v>-13000.550370134692</v>
      </c>
    </row>
    <row r="123" spans="1:8" ht="15">
      <c r="A123" s="46" t="str">
        <f>HLOOKUP(INDICE!$F$2,Nombres!$C$3:$D$636,40,FALSE)</f>
        <v>  Personnel expenses</v>
      </c>
      <c r="B123" s="44">
        <v>-33399.70392301998</v>
      </c>
      <c r="C123" s="44">
        <v>-39715.766099185785</v>
      </c>
      <c r="D123" s="44">
        <v>-3600.9590850710456</v>
      </c>
      <c r="E123" s="45">
        <v>-5695.380128150894</v>
      </c>
      <c r="F123" s="44">
        <v>-5004.051557402621</v>
      </c>
      <c r="G123" s="44">
        <v>-5211.772378336977</v>
      </c>
      <c r="H123" s="44">
        <v>-6081.320423508405</v>
      </c>
    </row>
    <row r="124" spans="1:8" ht="15">
      <c r="A124" s="46" t="str">
        <f>HLOOKUP(INDICE!$F$2,Nombres!$C$3:$D$636,41,FALSE)</f>
        <v>  General and administrative expenses</v>
      </c>
      <c r="B124" s="44">
        <v>-28231.96838638046</v>
      </c>
      <c r="C124" s="44">
        <v>-26072.827438934124</v>
      </c>
      <c r="D124" s="44">
        <v>-6749.802194190293</v>
      </c>
      <c r="E124" s="45">
        <v>-6683.312018345241</v>
      </c>
      <c r="F124" s="44">
        <v>-6698.849994596238</v>
      </c>
      <c r="G124" s="44">
        <v>-7015.878373408028</v>
      </c>
      <c r="H124" s="44">
        <v>-6919.229946626287</v>
      </c>
    </row>
    <row r="125" spans="1:8" ht="15">
      <c r="A125" s="43" t="str">
        <f>HLOOKUP(INDICE!$F$2,Nombres!$C$3:$D$636,42,FALSE)</f>
        <v>  Depreciation</v>
      </c>
      <c r="B125" s="44">
        <v>-3293.8564026646927</v>
      </c>
      <c r="C125" s="44">
        <v>-4418.948926720948</v>
      </c>
      <c r="D125" s="44">
        <v>-496.4969961957544</v>
      </c>
      <c r="E125" s="45">
        <v>-584.0360544337449</v>
      </c>
      <c r="F125" s="44">
        <v>-886.8131357408462</v>
      </c>
      <c r="G125" s="44">
        <v>-851.1897857832919</v>
      </c>
      <c r="H125" s="44">
        <v>-809.8463857151733</v>
      </c>
    </row>
    <row r="126" spans="1:8" ht="15">
      <c r="A126" s="41" t="str">
        <f>HLOOKUP(INDICE!$F$2,Nombres!$C$3:$D$636,43,FALSE)</f>
        <v>Operating income</v>
      </c>
      <c r="B126" s="41">
        <f aca="true" t="shared" si="19" ref="B126:H126">+B120+B121</f>
        <v>79470.87305699481</v>
      </c>
      <c r="C126" s="41">
        <f t="shared" si="19"/>
        <v>83401.06683937821</v>
      </c>
      <c r="D126" s="41">
        <f t="shared" si="19"/>
        <v>27483.332894324634</v>
      </c>
      <c r="E126" s="42">
        <f t="shared" si="19"/>
        <v>28676.638359945762</v>
      </c>
      <c r="F126" s="52">
        <f t="shared" si="19"/>
        <v>26760.53382091138</v>
      </c>
      <c r="G126" s="52">
        <f t="shared" si="19"/>
        <v>26477.15953458514</v>
      </c>
      <c r="H126" s="52">
        <f t="shared" si="19"/>
        <v>26464.456881548165</v>
      </c>
    </row>
    <row r="127" spans="1:8" ht="15">
      <c r="A127" s="43" t="str">
        <f>HLOOKUP(INDICE!$F$2,Nombres!$C$3:$D$636,44,FALSE)</f>
        <v>Impaiment on financial assets not measured at fair value through profit or loss</v>
      </c>
      <c r="B127" s="44">
        <v>-25068.83789785344</v>
      </c>
      <c r="C127" s="44">
        <v>-16811.99111769061</v>
      </c>
      <c r="D127" s="44">
        <v>-10824.34727852947</v>
      </c>
      <c r="E127" s="45">
        <v>-5379.607960279252</v>
      </c>
      <c r="F127" s="44">
        <v>-9476.773193305813</v>
      </c>
      <c r="G127" s="44">
        <v>-8928.349532522709</v>
      </c>
      <c r="H127" s="44">
        <v>-10790.749514217954</v>
      </c>
    </row>
    <row r="128" spans="1:8" ht="15">
      <c r="A128" s="43" t="str">
        <f>HLOOKUP(INDICE!$F$2,Nombres!$C$3:$D$636,45,FALSE)</f>
        <v>Provisions or reversal of provisions and other results</v>
      </c>
      <c r="B128" s="44">
        <v>1247.9644707623984</v>
      </c>
      <c r="C128" s="44">
        <v>362.1672834937086</v>
      </c>
      <c r="D128" s="44">
        <v>915.2155825780997</v>
      </c>
      <c r="E128" s="45">
        <v>-214.75838906736536</v>
      </c>
      <c r="F128" s="44">
        <v>-419.1518496279384</v>
      </c>
      <c r="G128" s="44">
        <v>-220.48207581660608</v>
      </c>
      <c r="H128" s="44">
        <v>-296.4522276536603</v>
      </c>
    </row>
    <row r="129" spans="1:8" ht="15">
      <c r="A129" s="41" t="str">
        <f>HLOOKUP(INDICE!$F$2,Nombres!$C$3:$D$636,46,FALSE)</f>
        <v>Profit/(loss) before tax</v>
      </c>
      <c r="B129" s="41">
        <f aca="true" t="shared" si="20" ref="B129:H129">+B126+B127+B128</f>
        <v>55649.99962990377</v>
      </c>
      <c r="C129" s="41">
        <f t="shared" si="20"/>
        <v>66951.24300518131</v>
      </c>
      <c r="D129" s="41">
        <f t="shared" si="20"/>
        <v>17574.201198373266</v>
      </c>
      <c r="E129" s="42">
        <f t="shared" si="20"/>
        <v>23082.272010599143</v>
      </c>
      <c r="F129" s="52">
        <f t="shared" si="20"/>
        <v>16864.608777977628</v>
      </c>
      <c r="G129" s="52">
        <f t="shared" si="20"/>
        <v>17328.327926245824</v>
      </c>
      <c r="H129" s="52">
        <f t="shared" si="20"/>
        <v>15377.25513967655</v>
      </c>
    </row>
    <row r="130" spans="1:8" ht="15">
      <c r="A130" s="43" t="str">
        <f>HLOOKUP(INDICE!$F$2,Nombres!$C$3:$D$636,47,FALSE)</f>
        <v>Income tax</v>
      </c>
      <c r="B130" s="44">
        <v>-13171.687979274611</v>
      </c>
      <c r="C130" s="44">
        <v>-13067.492146558108</v>
      </c>
      <c r="D130" s="44">
        <v>-4944.422064714918</v>
      </c>
      <c r="E130" s="45">
        <v>-6476.279489997407</v>
      </c>
      <c r="F130" s="44">
        <v>-4231.690373368499</v>
      </c>
      <c r="G130" s="44">
        <v>-4449.164798565635</v>
      </c>
      <c r="H130" s="44">
        <v>-4368.108758127014</v>
      </c>
    </row>
    <row r="131" spans="1:8" ht="15">
      <c r="A131" s="41" t="str">
        <f>HLOOKUP(INDICE!$F$2,Nombres!$C$3:$D$636,48,FALSE)</f>
        <v>Profit/(loss) for the year</v>
      </c>
      <c r="B131" s="41">
        <f aca="true" t="shared" si="21" ref="B131:H131">+B129+B130</f>
        <v>42478.311650629155</v>
      </c>
      <c r="C131" s="41">
        <f t="shared" si="21"/>
        <v>53883.75085862321</v>
      </c>
      <c r="D131" s="41">
        <f t="shared" si="21"/>
        <v>12629.779133658349</v>
      </c>
      <c r="E131" s="42">
        <f t="shared" si="21"/>
        <v>16605.992520601736</v>
      </c>
      <c r="F131" s="52">
        <f t="shared" si="21"/>
        <v>12632.918404609129</v>
      </c>
      <c r="G131" s="52">
        <f t="shared" si="21"/>
        <v>12879.163127680189</v>
      </c>
      <c r="H131" s="52">
        <f t="shared" si="21"/>
        <v>11009.146381549537</v>
      </c>
    </row>
    <row r="132" spans="1:8" ht="15">
      <c r="A132" s="43" t="str">
        <f>HLOOKUP(INDICE!$F$2,Nombres!$C$3:$D$636,49,FALSE)</f>
        <v>Non-controlling interests</v>
      </c>
      <c r="B132" s="44">
        <v>-9016.505958549224</v>
      </c>
      <c r="C132" s="44">
        <v>-12919.414537379718</v>
      </c>
      <c r="D132" s="44">
        <v>-77.12870887225912</v>
      </c>
      <c r="E132" s="45">
        <v>-20.668122980783743</v>
      </c>
      <c r="F132" s="44" t="s">
        <v>407</v>
      </c>
      <c r="G132" s="44" t="s">
        <v>407</v>
      </c>
      <c r="H132" s="44" t="s">
        <v>407</v>
      </c>
    </row>
    <row r="133" spans="1:8" ht="15">
      <c r="A133" s="47" t="str">
        <f>HLOOKUP(INDICE!$F$2,Nombres!$C$3:$D$636,50,FALSE)</f>
        <v>Net attributable profit</v>
      </c>
      <c r="B133" s="47">
        <f aca="true" t="shared" si="22" ref="B133:H133">+B131+B132</f>
        <v>33461.80569207993</v>
      </c>
      <c r="C133" s="47">
        <f t="shared" si="22"/>
        <v>40964.33632124349</v>
      </c>
      <c r="D133" s="47">
        <f t="shared" si="22"/>
        <v>12552.65042478609</v>
      </c>
      <c r="E133" s="74">
        <f t="shared" si="22"/>
        <v>16585.324397620952</v>
      </c>
      <c r="F133" s="53">
        <f t="shared" si="22"/>
        <v>12632.918404609129</v>
      </c>
      <c r="G133" s="53">
        <f t="shared" si="22"/>
        <v>12879.163127680189</v>
      </c>
      <c r="H133" s="53">
        <f t="shared" si="22"/>
        <v>11009.146381549537</v>
      </c>
    </row>
    <row r="134" spans="1:8" ht="15">
      <c r="A134" s="65"/>
      <c r="B134" s="87"/>
      <c r="C134" s="87"/>
      <c r="D134" s="87"/>
      <c r="E134" s="87"/>
      <c r="F134" s="66">
        <v>0</v>
      </c>
      <c r="G134" s="66">
        <v>0</v>
      </c>
      <c r="H134" s="66">
        <v>0</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HLOOKUP(INDICE!$F$2,Nombres!$C$3:$D$636,81,FALSE)</f>
        <v>(Million Chilean pesos)</v>
      </c>
      <c r="B137" s="30"/>
      <c r="C137" s="54"/>
      <c r="D137" s="54"/>
      <c r="E137" s="54"/>
      <c r="F137" s="73"/>
      <c r="G137" s="44"/>
      <c r="H137" s="44"/>
    </row>
    <row r="138" spans="1:8" ht="15.75">
      <c r="A138" s="30"/>
      <c r="B138" s="55">
        <f aca="true" t="shared" si="23" ref="B138:H138">+B$30</f>
        <v>43190</v>
      </c>
      <c r="C138" s="55">
        <f t="shared" si="23"/>
        <v>43281</v>
      </c>
      <c r="D138" s="55">
        <f t="shared" si="23"/>
        <v>43373</v>
      </c>
      <c r="E138" s="71">
        <f t="shared" si="23"/>
        <v>43465</v>
      </c>
      <c r="F138" s="55">
        <f t="shared" si="23"/>
        <v>43555</v>
      </c>
      <c r="G138" s="55">
        <f t="shared" si="23"/>
        <v>43646</v>
      </c>
      <c r="H138" s="55">
        <f t="shared" si="23"/>
        <v>43738</v>
      </c>
    </row>
    <row r="139" spans="1:8" ht="15">
      <c r="A139" s="43" t="str">
        <f>HLOOKUP(INDICE!$F$2,Nombres!$C$3:$D$636,52,FALSE)</f>
        <v>Cash, cash balances at central banks and other demand deposits</v>
      </c>
      <c r="B139" s="44">
        <v>520042.5055928412</v>
      </c>
      <c r="C139" s="44">
        <v>429530.2114803625</v>
      </c>
      <c r="D139" s="44">
        <v>30389.739663093413</v>
      </c>
      <c r="E139" s="45">
        <v>21563.24582338902</v>
      </c>
      <c r="F139" s="44">
        <v>19947.353907175053</v>
      </c>
      <c r="G139" s="44">
        <v>28822.700051106636</v>
      </c>
      <c r="H139" s="44">
        <v>19729.537623999095</v>
      </c>
    </row>
    <row r="140" spans="1:8" ht="15">
      <c r="A140" s="43" t="str">
        <f>HLOOKUP(INDICE!$F$2,Nombres!$C$3:$D$636,53,FALSE)</f>
        <v>Financial assets designated at fair value </v>
      </c>
      <c r="B140" s="60">
        <v>3083678.598061149</v>
      </c>
      <c r="C140" s="60">
        <v>3311221.2990936553</v>
      </c>
      <c r="D140" s="60">
        <v>0</v>
      </c>
      <c r="E140" s="68">
        <v>0</v>
      </c>
      <c r="F140" s="44">
        <v>0</v>
      </c>
      <c r="G140" s="44">
        <v>0</v>
      </c>
      <c r="H140" s="44">
        <v>0</v>
      </c>
    </row>
    <row r="141" spans="1:8" ht="15">
      <c r="A141" s="43" t="str">
        <f>HLOOKUP(INDICE!$F$2,Nombres!$C$3:$D$636,54,FALSE)</f>
        <v>Financial assets at amortized cost</v>
      </c>
      <c r="B141" s="44">
        <v>11491891.87173751</v>
      </c>
      <c r="C141" s="44">
        <v>11740421.450151056</v>
      </c>
      <c r="D141" s="44">
        <v>1526326.186830015</v>
      </c>
      <c r="E141" s="45">
        <v>1658198.0906921239</v>
      </c>
      <c r="F141" s="44">
        <v>1685904.9296884811</v>
      </c>
      <c r="G141" s="44">
        <v>1605680.6358878417</v>
      </c>
      <c r="H141" s="44">
        <v>1640845.147015604</v>
      </c>
    </row>
    <row r="142" spans="1:8" ht="15">
      <c r="A142" s="43" t="str">
        <f>HLOOKUP(INDICE!$F$2,Nombres!$C$3:$D$636,55,FALSE)</f>
        <v>    of which loans and advances to customers</v>
      </c>
      <c r="B142" s="44">
        <v>11086334.07904549</v>
      </c>
      <c r="C142" s="44">
        <v>11346545.317220543</v>
      </c>
      <c r="D142" s="44">
        <v>1526326.1868300152</v>
      </c>
      <c r="E142" s="45">
        <v>1630278.4407319014</v>
      </c>
      <c r="F142" s="44">
        <v>1629911.0819764382</v>
      </c>
      <c r="G142" s="44">
        <v>1605010.628418999</v>
      </c>
      <c r="H142" s="44">
        <v>1614624.9644843824</v>
      </c>
    </row>
    <row r="143" spans="1:8" ht="15">
      <c r="A143" s="43" t="str">
        <f>HLOOKUP(INDICE!$F$2,Nombres!$C$3:$D$636,56,FALSE)</f>
        <v>Tangible assets</v>
      </c>
      <c r="B143" s="44">
        <v>67653.2438478747</v>
      </c>
      <c r="C143" s="44">
        <v>66546.82779456192</v>
      </c>
      <c r="D143" s="44">
        <v>1684.532924961715</v>
      </c>
      <c r="E143" s="45">
        <v>1703.261734287987</v>
      </c>
      <c r="F143" s="44">
        <v>11662.483539176577</v>
      </c>
      <c r="G143" s="44">
        <v>11295.737927367716</v>
      </c>
      <c r="H143" s="44">
        <v>11152.78332365921</v>
      </c>
    </row>
    <row r="144" spans="1:8" ht="15">
      <c r="A144" s="43" t="str">
        <f>HLOOKUP(INDICE!$F$2,Nombres!$C$3:$D$636,57,FALSE)</f>
        <v>Other assets</v>
      </c>
      <c r="B144" s="60">
        <f>+B145-B143-B141-B140-B139</f>
        <v>894636.0924683041</v>
      </c>
      <c r="C144" s="60">
        <f aca="true" t="shared" si="24" ref="C144:H144">+C145-C143-C141-C140-C139</f>
        <v>937339.1238670673</v>
      </c>
      <c r="D144" s="60">
        <f t="shared" si="24"/>
        <v>669131.3443874432</v>
      </c>
      <c r="E144" s="68">
        <f t="shared" si="24"/>
        <v>802491.621622912</v>
      </c>
      <c r="F144" s="44">
        <f t="shared" si="24"/>
        <v>894424.7184854884</v>
      </c>
      <c r="G144" s="44">
        <f t="shared" si="24"/>
        <v>897651.4037095535</v>
      </c>
      <c r="H144" s="44">
        <f t="shared" si="24"/>
        <v>934970.5264192427</v>
      </c>
    </row>
    <row r="145" spans="1:8" ht="15">
      <c r="A145" s="47" t="str">
        <f>HLOOKUP(INDICE!$F$2,Nombres!$C$3:$D$636,58,FALSE)</f>
        <v>Total assets / Liabilities and equity</v>
      </c>
      <c r="B145" s="47">
        <v>16057902.31170768</v>
      </c>
      <c r="C145" s="47">
        <v>16485058.912386702</v>
      </c>
      <c r="D145" s="47">
        <v>2227531.8038055133</v>
      </c>
      <c r="E145" s="47">
        <v>2483956.219872713</v>
      </c>
      <c r="F145" s="53">
        <v>2611939.4856203212</v>
      </c>
      <c r="G145" s="53">
        <v>2543450.4775758698</v>
      </c>
      <c r="H145" s="53">
        <v>2606697.994382505</v>
      </c>
    </row>
    <row r="146" spans="1:8" ht="15">
      <c r="A146" s="43" t="str">
        <f>HLOOKUP(INDICE!$F$2,Nombres!$C$3:$D$636,59,FALSE)</f>
        <v>Financial liabilities held for trading and designated at fair value through profit or loss</v>
      </c>
      <c r="B146" s="60">
        <v>1528146.9052945562</v>
      </c>
      <c r="C146" s="60">
        <v>1612023.4138972808</v>
      </c>
      <c r="D146" s="60">
        <v>0</v>
      </c>
      <c r="E146" s="68">
        <v>0</v>
      </c>
      <c r="F146" s="44">
        <v>0</v>
      </c>
      <c r="G146" s="44">
        <v>0</v>
      </c>
      <c r="H146" s="44">
        <v>0</v>
      </c>
    </row>
    <row r="147" spans="1:8" ht="15">
      <c r="A147" s="43" t="str">
        <f>HLOOKUP(INDICE!$F$2,Nombres!$C$3:$D$636,60,FALSE)</f>
        <v>Deposits from central banks and credit institutions</v>
      </c>
      <c r="B147" s="60">
        <v>1385662.9381058912</v>
      </c>
      <c r="C147" s="60">
        <v>1146033.9879154079</v>
      </c>
      <c r="D147" s="60">
        <v>434068.14701378247</v>
      </c>
      <c r="E147" s="68">
        <v>467243.4367541766</v>
      </c>
      <c r="F147" s="44">
        <v>420532.7351316666</v>
      </c>
      <c r="G147" s="44">
        <v>396435.5277711694</v>
      </c>
      <c r="H147" s="44">
        <v>428700.2214433567</v>
      </c>
    </row>
    <row r="148" spans="1:8" ht="15">
      <c r="A148" s="43" t="str">
        <f>HLOOKUP(INDICE!$F$2,Nombres!$C$3:$D$636,61,FALSE)</f>
        <v>Deposits from customers</v>
      </c>
      <c r="B148" s="60">
        <v>6554316.927665921</v>
      </c>
      <c r="C148" s="60">
        <v>7261146.525679758</v>
      </c>
      <c r="D148" s="60">
        <v>10772.588055130167</v>
      </c>
      <c r="E148" s="68">
        <v>8104.216388225935</v>
      </c>
      <c r="F148" s="44">
        <v>8268.801071080772</v>
      </c>
      <c r="G148" s="44">
        <v>5623.111181925244</v>
      </c>
      <c r="H148" s="44">
        <v>7247.649755179417</v>
      </c>
    </row>
    <row r="149" spans="1:8" ht="15">
      <c r="A149" s="43" t="str">
        <f>HLOOKUP(INDICE!$F$2,Nombres!$C$3:$D$636,62,FALSE)</f>
        <v>Debt certificates</v>
      </c>
      <c r="B149" s="44">
        <v>3699087.9940343034</v>
      </c>
      <c r="C149" s="44">
        <v>3518859.516616314</v>
      </c>
      <c r="D149" s="44">
        <v>713886.676875957</v>
      </c>
      <c r="E149" s="45">
        <v>828533.8106603023</v>
      </c>
      <c r="F149" s="44">
        <v>861115.3615889355</v>
      </c>
      <c r="G149" s="44">
        <v>818941.7734148394</v>
      </c>
      <c r="H149" s="44">
        <v>822880.8637812826</v>
      </c>
    </row>
    <row r="150" spans="1:8" ht="15">
      <c r="A150" s="43" t="str">
        <f>HLOOKUP(INDICE!$F$2,Nombres!$C$3:$D$636,63,FALSE)</f>
        <v>Other liabilities</v>
      </c>
      <c r="B150" s="60">
        <f>+B145-B146-B147-B148-B149-B151</f>
        <v>2488127.8277404904</v>
      </c>
      <c r="C150" s="60">
        <f aca="true" t="shared" si="25" ref="C150:H150">+C145-C146-C147-C148-C149-C151</f>
        <v>2528964.138972805</v>
      </c>
      <c r="D150" s="60">
        <f t="shared" si="25"/>
        <v>1012632.6088591123</v>
      </c>
      <c r="E150" s="68">
        <f t="shared" si="25"/>
        <v>1140658.2854256167</v>
      </c>
      <c r="F150" s="44">
        <f t="shared" si="25"/>
        <v>1277634.6979908526</v>
      </c>
      <c r="G150" s="44">
        <f t="shared" si="25"/>
        <v>1280081.3614981938</v>
      </c>
      <c r="H150" s="44">
        <f t="shared" si="25"/>
        <v>1304225.2350755278</v>
      </c>
    </row>
    <row r="151" spans="1:8" ht="15">
      <c r="A151" s="43" t="str">
        <f>HLOOKUP(INDICE!$F$2,Nombres!$C$3:$D$636,64,FALSE)</f>
        <v>Economic capital allocated</v>
      </c>
      <c r="B151" s="44">
        <v>402559.71886651753</v>
      </c>
      <c r="C151" s="44">
        <v>418031.3293051361</v>
      </c>
      <c r="D151" s="44">
        <v>56171.78300153138</v>
      </c>
      <c r="E151" s="45">
        <v>39416.470644391404</v>
      </c>
      <c r="F151" s="44">
        <v>44387.889837785886</v>
      </c>
      <c r="G151" s="44">
        <v>42368.703709741996</v>
      </c>
      <c r="H151" s="44">
        <v>43644.02432715836</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HLOOKUP(INDICE!$F$2,Nombres!$C$3:$D$636,81,FALSE)</f>
        <v>(Million Chilean pesos)</v>
      </c>
      <c r="B155" s="30"/>
      <c r="C155" s="30"/>
      <c r="D155" s="30"/>
      <c r="E155" s="30"/>
      <c r="F155" s="73"/>
      <c r="G155" s="44"/>
      <c r="H155" s="44"/>
    </row>
    <row r="156" spans="1:8" ht="15.75" customHeight="1">
      <c r="A156" s="30"/>
      <c r="B156" s="55">
        <f aca="true" t="shared" si="26" ref="B156:H156">+B$30</f>
        <v>43190</v>
      </c>
      <c r="C156" s="55">
        <f t="shared" si="26"/>
        <v>43281</v>
      </c>
      <c r="D156" s="55">
        <f t="shared" si="26"/>
        <v>43373</v>
      </c>
      <c r="E156" s="71">
        <f t="shared" si="26"/>
        <v>43465</v>
      </c>
      <c r="F156" s="55">
        <f t="shared" si="26"/>
        <v>43555</v>
      </c>
      <c r="G156" s="55">
        <f t="shared" si="26"/>
        <v>43646</v>
      </c>
      <c r="H156" s="55">
        <f t="shared" si="26"/>
        <v>43738</v>
      </c>
    </row>
    <row r="157" spans="1:8" ht="15.75" customHeight="1">
      <c r="A157" s="43" t="str">
        <f>HLOOKUP(INDICE!$F$2,Nombres!$C$3:$D$636,66,FALSE)</f>
        <v>Loans and advances to customers (gross) (*)</v>
      </c>
      <c r="B157" s="44">
        <v>11026063.472736765</v>
      </c>
      <c r="C157" s="44">
        <v>11227977.738232628</v>
      </c>
      <c r="D157" s="44">
        <v>1571343.0321592647</v>
      </c>
      <c r="E157" s="45">
        <v>1673268.894192522</v>
      </c>
      <c r="F157" s="44">
        <v>1672259.800991506</v>
      </c>
      <c r="G157" s="44">
        <v>1648933.2543008204</v>
      </c>
      <c r="H157" s="44">
        <v>1662445.8615497933</v>
      </c>
    </row>
    <row r="158" spans="1:8" ht="15.75" customHeight="1">
      <c r="A158" s="43" t="str">
        <f>HLOOKUP(INDICE!$F$2,Nombres!$C$3:$D$636,67,FALSE)</f>
        <v>Customer deposits under management (*)</v>
      </c>
      <c r="B158" s="44">
        <v>6746288.678023864</v>
      </c>
      <c r="C158" s="44">
        <v>7176405.968927491</v>
      </c>
      <c r="D158" s="44">
        <v>10772.588055130167</v>
      </c>
      <c r="E158" s="45">
        <v>8104.216388225934</v>
      </c>
      <c r="F158" s="44">
        <v>8268.801071080772</v>
      </c>
      <c r="G158" s="44">
        <v>5623.111181925244</v>
      </c>
      <c r="H158" s="44">
        <v>7247.649755179417</v>
      </c>
    </row>
    <row r="159" spans="1:8" ht="15.75" customHeight="1">
      <c r="A159" s="43" t="str">
        <f>HLOOKUP(INDICE!$F$2,Nombres!$C$3:$D$636,68,FALSE)</f>
        <v>Mutual funds</v>
      </c>
      <c r="B159" s="44">
        <v>1119606.0000149142</v>
      </c>
      <c r="C159" s="44">
        <v>1055582.0000226584</v>
      </c>
      <c r="D159" s="44">
        <v>0</v>
      </c>
      <c r="E159" s="45">
        <v>0</v>
      </c>
      <c r="F159" s="44">
        <v>0</v>
      </c>
      <c r="G159" s="44">
        <v>0</v>
      </c>
      <c r="H159" s="44">
        <v>0</v>
      </c>
    </row>
    <row r="160" spans="1:8" ht="15.75" customHeight="1">
      <c r="A160" s="43" t="str">
        <f>HLOOKUP(INDICE!$F$2,Nombres!$C$3:$D$636,69,FALSE)</f>
        <v>Pension funds</v>
      </c>
      <c r="B160" s="44">
        <v>0</v>
      </c>
      <c r="C160" s="44">
        <v>0</v>
      </c>
      <c r="D160" s="44">
        <v>0</v>
      </c>
      <c r="E160" s="45">
        <v>0</v>
      </c>
      <c r="F160" s="44">
        <v>0</v>
      </c>
      <c r="G160" s="44">
        <v>0</v>
      </c>
      <c r="H160" s="44">
        <v>0</v>
      </c>
    </row>
    <row r="161" spans="1:8" ht="15">
      <c r="A161" s="43" t="str">
        <f>HLOOKUP(INDICE!$F$2,Nombres!$C$3:$D$636,70,FALSE)</f>
        <v>Other off balance-sheet funds</v>
      </c>
      <c r="B161" s="44">
        <v>0</v>
      </c>
      <c r="C161" s="44">
        <v>0</v>
      </c>
      <c r="D161" s="44">
        <v>0</v>
      </c>
      <c r="E161" s="45">
        <v>0</v>
      </c>
      <c r="F161" s="44">
        <v>0</v>
      </c>
      <c r="G161" s="44">
        <v>0</v>
      </c>
      <c r="H161" s="44">
        <v>0</v>
      </c>
    </row>
    <row r="162" spans="1:8" ht="15">
      <c r="A162" s="65" t="str">
        <f>HLOOKUP(INDICE!$F$2,Nombres!$C$3:$D$636,71,FALSE)</f>
        <v>(*) Excluding repos. </v>
      </c>
      <c r="B162" s="44"/>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G26:H26">
    <cfRule type="cellIs" priority="8" dxfId="92" operator="notBetween">
      <formula>0.5</formula>
      <formula>-0.5</formula>
    </cfRule>
  </conditionalFormatting>
  <conditionalFormatting sqref="B26">
    <cfRule type="cellIs" priority="7" dxfId="92" operator="notBetween">
      <formula>0.5</formula>
      <formula>-0.5</formula>
    </cfRule>
  </conditionalFormatting>
  <conditionalFormatting sqref="C26">
    <cfRule type="cellIs" priority="6" dxfId="92" operator="notBetween">
      <formula>0.5</formula>
      <formula>-0.5</formula>
    </cfRule>
  </conditionalFormatting>
  <conditionalFormatting sqref="D26">
    <cfRule type="cellIs" priority="5" dxfId="92" operator="notBetween">
      <formula>0.5</formula>
      <formula>-0.5</formula>
    </cfRule>
  </conditionalFormatting>
  <conditionalFormatting sqref="E26">
    <cfRule type="cellIs" priority="4" dxfId="92" operator="notBetween">
      <formula>0.5</formula>
      <formula>-0.5</formula>
    </cfRule>
  </conditionalFormatting>
  <conditionalFormatting sqref="F26:H26">
    <cfRule type="cellIs" priority="3" dxfId="92" operator="notBetween">
      <formula>0.5</formula>
      <formula>-0.5</formula>
    </cfRule>
  </conditionalFormatting>
  <conditionalFormatting sqref="F80:H80">
    <cfRule type="cellIs" priority="2" dxfId="92" operator="notBetween">
      <formula>0.5</formula>
      <formula>-0.5</formula>
    </cfRule>
  </conditionalFormatting>
  <conditionalFormatting sqref="F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HLOOKUP(INDICE!$F$2,Nombres!$C$3:$D$636,16,FALSE)</f>
        <v>Colombia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209.32599999999996</v>
      </c>
      <c r="C8" s="41">
        <v>211.03099999999998</v>
      </c>
      <c r="D8" s="41">
        <v>206.93699999999993</v>
      </c>
      <c r="E8" s="42">
        <v>206.78800000000004</v>
      </c>
      <c r="F8" s="52">
        <v>211.75300000000004</v>
      </c>
      <c r="G8" s="52">
        <v>206.11800000000005</v>
      </c>
      <c r="H8" s="52">
        <v>205.30499999999998</v>
      </c>
    </row>
    <row r="9" spans="1:8" ht="15">
      <c r="A9" s="43" t="str">
        <f>HLOOKUP(INDICE!$F$2,Nombres!$C$3:$D$636,34,FALSE)</f>
        <v>Net fees and commissions</v>
      </c>
      <c r="B9" s="44">
        <v>23.59070956</v>
      </c>
      <c r="C9" s="44">
        <v>24.503078489999993</v>
      </c>
      <c r="D9" s="44">
        <v>22.13998779000001</v>
      </c>
      <c r="E9" s="45">
        <v>28.124601679999987</v>
      </c>
      <c r="F9" s="44">
        <v>22.35100001</v>
      </c>
      <c r="G9" s="44">
        <v>23.259115770000008</v>
      </c>
      <c r="H9" s="44">
        <v>21.558526900000007</v>
      </c>
    </row>
    <row r="10" spans="1:8" ht="15">
      <c r="A10" s="43" t="str">
        <f>HLOOKUP(INDICE!$F$2,Nombres!$C$3:$D$636,35,FALSE)</f>
        <v>Net trading income</v>
      </c>
      <c r="B10" s="44">
        <v>14.073019979999994</v>
      </c>
      <c r="C10" s="44">
        <v>14.988929370000001</v>
      </c>
      <c r="D10" s="44">
        <v>16.10555130000001</v>
      </c>
      <c r="E10" s="45">
        <v>18.06938704000001</v>
      </c>
      <c r="F10" s="44">
        <v>20.199326500000012</v>
      </c>
      <c r="G10" s="44">
        <v>18.005204459999987</v>
      </c>
      <c r="H10" s="44">
        <v>12.435440569999997</v>
      </c>
    </row>
    <row r="11" spans="1:8" ht="15">
      <c r="A11" s="43" t="str">
        <f>HLOOKUP(INDICE!$F$2,Nombres!$C$3:$D$636,36,FALSE)</f>
        <v>Other operating income and expenses</v>
      </c>
      <c r="B11" s="44">
        <v>6.585000000000001</v>
      </c>
      <c r="C11" s="44">
        <v>4.235000000000001</v>
      </c>
      <c r="D11" s="44">
        <v>2.125</v>
      </c>
      <c r="E11" s="45">
        <v>4.953000000000005</v>
      </c>
      <c r="F11" s="44">
        <v>8.365000000000002</v>
      </c>
      <c r="G11" s="44">
        <v>1.6479999999999984</v>
      </c>
      <c r="H11" s="44">
        <v>2.429000000000003</v>
      </c>
    </row>
    <row r="12" spans="1:8" ht="15">
      <c r="A12" s="41" t="str">
        <f>HLOOKUP(INDICE!$F$2,Nombres!$C$3:$D$636,37,FALSE)</f>
        <v>Gross income</v>
      </c>
      <c r="B12" s="41">
        <f>+SUM(B8:B11)</f>
        <v>253.57472953999996</v>
      </c>
      <c r="C12" s="41">
        <f aca="true" t="shared" si="0" ref="C12:H12">+SUM(C8:C11)</f>
        <v>254.75800785999996</v>
      </c>
      <c r="D12" s="41">
        <f t="shared" si="0"/>
        <v>247.30753908999995</v>
      </c>
      <c r="E12" s="42">
        <f t="shared" si="0"/>
        <v>257.93498872000004</v>
      </c>
      <c r="F12" s="52">
        <f t="shared" si="0"/>
        <v>262.66832651000004</v>
      </c>
      <c r="G12" s="52">
        <f t="shared" si="0"/>
        <v>249.03032023000003</v>
      </c>
      <c r="H12" s="52">
        <f t="shared" si="0"/>
        <v>241.72796746999998</v>
      </c>
    </row>
    <row r="13" spans="1:8" ht="15">
      <c r="A13" s="43" t="str">
        <f>HLOOKUP(INDICE!$F$2,Nombres!$C$3:$D$636,38,FALSE)</f>
        <v>Operating expenses</v>
      </c>
      <c r="B13" s="44">
        <v>-94.23916201</v>
      </c>
      <c r="C13" s="44">
        <v>-93.6836935</v>
      </c>
      <c r="D13" s="44">
        <v>-92.76116225999999</v>
      </c>
      <c r="E13" s="45">
        <v>-94.99359135</v>
      </c>
      <c r="F13" s="44">
        <v>-93.46352602000002</v>
      </c>
      <c r="G13" s="44">
        <v>-87.35852535000001</v>
      </c>
      <c r="H13" s="44">
        <v>-89.59488135000001</v>
      </c>
    </row>
    <row r="14" spans="1:8" ht="15">
      <c r="A14" s="43" t="str">
        <f>HLOOKUP(INDICE!$F$2,Nombres!$C$3:$D$636,39,FALSE)</f>
        <v>  Administration expenses</v>
      </c>
      <c r="B14" s="44">
        <v>-90.08616201</v>
      </c>
      <c r="C14" s="44">
        <v>-88.6726935</v>
      </c>
      <c r="D14" s="44">
        <v>-87.49616226</v>
      </c>
      <c r="E14" s="45">
        <v>-89.54359135</v>
      </c>
      <c r="F14" s="44">
        <v>-86.01652602</v>
      </c>
      <c r="G14" s="44">
        <v>-80.04252535</v>
      </c>
      <c r="H14" s="44">
        <v>-81.69388135</v>
      </c>
    </row>
    <row r="15" spans="1:8" ht="15">
      <c r="A15" s="46" t="str">
        <f>HLOOKUP(INDICE!$F$2,Nombres!$C$3:$D$636,40,FALSE)</f>
        <v>  Personnel expenses</v>
      </c>
      <c r="B15" s="44">
        <v>-42.891</v>
      </c>
      <c r="C15" s="44">
        <v>-40.96353124</v>
      </c>
      <c r="D15" s="44">
        <v>-42.028</v>
      </c>
      <c r="E15" s="45">
        <v>-41.336</v>
      </c>
      <c r="F15" s="44">
        <v>-44.96</v>
      </c>
      <c r="G15" s="44">
        <v>-41.422</v>
      </c>
      <c r="H15" s="44">
        <v>-42.39</v>
      </c>
    </row>
    <row r="16" spans="1:8" ht="15">
      <c r="A16" s="46" t="str">
        <f>HLOOKUP(INDICE!$F$2,Nombres!$C$3:$D$636,41,FALSE)</f>
        <v>  General and administrative expenses</v>
      </c>
      <c r="B16" s="44">
        <v>-47.19516201</v>
      </c>
      <c r="C16" s="44">
        <v>-47.70916226</v>
      </c>
      <c r="D16" s="44">
        <v>-45.468162259999986</v>
      </c>
      <c r="E16" s="45">
        <v>-48.20759135</v>
      </c>
      <c r="F16" s="44">
        <v>-41.05652602000001</v>
      </c>
      <c r="G16" s="44">
        <v>-38.620525349999994</v>
      </c>
      <c r="H16" s="44">
        <v>-39.30388135000001</v>
      </c>
    </row>
    <row r="17" spans="1:8" ht="15">
      <c r="A17" s="43" t="str">
        <f>HLOOKUP(INDICE!$F$2,Nombres!$C$3:$D$636,42,FALSE)</f>
        <v>  Depreciation</v>
      </c>
      <c r="B17" s="44">
        <v>-4.153</v>
      </c>
      <c r="C17" s="44">
        <v>-5.010999999999999</v>
      </c>
      <c r="D17" s="44">
        <v>-5.265</v>
      </c>
      <c r="E17" s="45">
        <v>-5.449999999999999</v>
      </c>
      <c r="F17" s="44">
        <v>-7.446999999999999</v>
      </c>
      <c r="G17" s="44">
        <v>-7.316000000000001</v>
      </c>
      <c r="H17" s="44">
        <v>-7.900999999999999</v>
      </c>
    </row>
    <row r="18" spans="1:8" ht="15">
      <c r="A18" s="41" t="str">
        <f>HLOOKUP(INDICE!$F$2,Nombres!$C$3:$D$636,43,FALSE)</f>
        <v>Operating income</v>
      </c>
      <c r="B18" s="41">
        <f>+B12+B13</f>
        <v>159.33556752999996</v>
      </c>
      <c r="C18" s="41">
        <f aca="true" t="shared" si="1" ref="C18:H18">+C12+C13</f>
        <v>161.07431435999996</v>
      </c>
      <c r="D18" s="41">
        <f t="shared" si="1"/>
        <v>154.54637682999996</v>
      </c>
      <c r="E18" s="42">
        <f t="shared" si="1"/>
        <v>162.94139737000003</v>
      </c>
      <c r="F18" s="52">
        <f t="shared" si="1"/>
        <v>169.20480049000003</v>
      </c>
      <c r="G18" s="52">
        <f t="shared" si="1"/>
        <v>161.67179488000002</v>
      </c>
      <c r="H18" s="52">
        <f t="shared" si="1"/>
        <v>152.13308611999997</v>
      </c>
    </row>
    <row r="19" spans="1:8" ht="15">
      <c r="A19" s="43" t="str">
        <f>HLOOKUP(INDICE!$F$2,Nombres!$C$3:$D$636,44,FALSE)</f>
        <v>Impaiment on financial assets not measured at fair value through profit or loss</v>
      </c>
      <c r="B19" s="44">
        <v>-55.040999999999954</v>
      </c>
      <c r="C19" s="44">
        <v>-68.867</v>
      </c>
      <c r="D19" s="44">
        <v>-63.961</v>
      </c>
      <c r="E19" s="45">
        <v>-89.69699999999997</v>
      </c>
      <c r="F19" s="44">
        <v>-72.64700000000003</v>
      </c>
      <c r="G19" s="44">
        <v>-46.35900000000001</v>
      </c>
      <c r="H19" s="44">
        <v>-39.92100000000003</v>
      </c>
    </row>
    <row r="20" spans="1:8" ht="15">
      <c r="A20" s="43" t="str">
        <f>HLOOKUP(INDICE!$F$2,Nombres!$C$3:$D$636,45,FALSE)</f>
        <v>Provisions or reversal of provisions and other results</v>
      </c>
      <c r="B20" s="44">
        <v>-2.8119999999999994</v>
      </c>
      <c r="C20" s="44">
        <v>-10.174000000000001</v>
      </c>
      <c r="D20" s="44">
        <v>1.6699999999999988</v>
      </c>
      <c r="E20" s="45">
        <v>-1.2840000000000003</v>
      </c>
      <c r="F20" s="44">
        <v>-1.3059999999999996</v>
      </c>
      <c r="G20" s="44">
        <v>-6.365000000000002</v>
      </c>
      <c r="H20" s="44">
        <v>-2.936999999999999</v>
      </c>
    </row>
    <row r="21" spans="1:8" ht="15">
      <c r="A21" s="41" t="str">
        <f>HLOOKUP(INDICE!$F$2,Nombres!$C$3:$D$636,46,FALSE)</f>
        <v>Profit/(loss) before tax</v>
      </c>
      <c r="B21" s="41">
        <f>+B18+B19+B20</f>
        <v>101.48256753000001</v>
      </c>
      <c r="C21" s="41">
        <f aca="true" t="shared" si="2" ref="C21:H21">+C18+C19+C20</f>
        <v>82.03331435999995</v>
      </c>
      <c r="D21" s="41">
        <f t="shared" si="2"/>
        <v>92.25537682999996</v>
      </c>
      <c r="E21" s="42">
        <f t="shared" si="2"/>
        <v>71.96039737000005</v>
      </c>
      <c r="F21" s="52">
        <f t="shared" si="2"/>
        <v>95.25180049</v>
      </c>
      <c r="G21" s="52">
        <f t="shared" si="2"/>
        <v>108.94779488</v>
      </c>
      <c r="H21" s="52">
        <f t="shared" si="2"/>
        <v>109.27508611999995</v>
      </c>
    </row>
    <row r="22" spans="1:8" ht="15">
      <c r="A22" s="43" t="str">
        <f>HLOOKUP(INDICE!$F$2,Nombres!$C$3:$D$636,47,FALSE)</f>
        <v>Income tax</v>
      </c>
      <c r="B22" s="44">
        <v>-36.51764946</v>
      </c>
      <c r="C22" s="44">
        <v>-21.869227690000002</v>
      </c>
      <c r="D22" s="44">
        <v>-33.61820645</v>
      </c>
      <c r="E22" s="45">
        <v>-22.800309519999992</v>
      </c>
      <c r="F22" s="44">
        <v>-34.47516521</v>
      </c>
      <c r="G22" s="44">
        <v>-34.18067436</v>
      </c>
      <c r="H22" s="44">
        <v>-38.62450827000001</v>
      </c>
    </row>
    <row r="23" spans="1:8" ht="15">
      <c r="A23" s="41" t="str">
        <f>HLOOKUP(INDICE!$F$2,Nombres!$C$3:$D$636,48,FALSE)</f>
        <v>Profit/(loss) for the year</v>
      </c>
      <c r="B23" s="41">
        <f>+B21+B22</f>
        <v>64.96491807000001</v>
      </c>
      <c r="C23" s="41">
        <f aca="true" t="shared" si="3" ref="C23:H23">+C21+C22</f>
        <v>60.164086669999946</v>
      </c>
      <c r="D23" s="41">
        <f t="shared" si="3"/>
        <v>58.63717037999996</v>
      </c>
      <c r="E23" s="42">
        <f t="shared" si="3"/>
        <v>49.16008785000006</v>
      </c>
      <c r="F23" s="52">
        <f t="shared" si="3"/>
        <v>60.776635279999994</v>
      </c>
      <c r="G23" s="52">
        <f t="shared" si="3"/>
        <v>74.76712052</v>
      </c>
      <c r="H23" s="52">
        <f t="shared" si="3"/>
        <v>70.65057784999995</v>
      </c>
    </row>
    <row r="24" spans="1:8" ht="15">
      <c r="A24" s="43" t="str">
        <f>HLOOKUP(INDICE!$F$2,Nombres!$C$3:$D$636,49,FALSE)</f>
        <v>Non-controlling interests</v>
      </c>
      <c r="B24" s="44">
        <v>-2.53434495</v>
      </c>
      <c r="C24" s="44">
        <v>-2.1609270999999994</v>
      </c>
      <c r="D24" s="44">
        <v>-2.35619973</v>
      </c>
      <c r="E24" s="45">
        <v>-1.6931558999999998</v>
      </c>
      <c r="F24" s="44">
        <v>-2.3369181799999996</v>
      </c>
      <c r="G24" s="44">
        <v>-2.84925305</v>
      </c>
      <c r="H24" s="44">
        <v>-2.6995660699999995</v>
      </c>
    </row>
    <row r="25" spans="1:8" ht="15">
      <c r="A25" s="47" t="str">
        <f>HLOOKUP(INDICE!$F$2,Nombres!$C$3:$D$636,50,FALSE)</f>
        <v>Net attributable profit</v>
      </c>
      <c r="B25" s="47">
        <f>+B23+B24</f>
        <v>62.43057312000001</v>
      </c>
      <c r="C25" s="47">
        <f aca="true" t="shared" si="4" ref="C25:H25">+C23+C24</f>
        <v>58.003159569999944</v>
      </c>
      <c r="D25" s="47">
        <f t="shared" si="4"/>
        <v>56.28097064999996</v>
      </c>
      <c r="E25" s="47">
        <f t="shared" si="4"/>
        <v>47.46693195000006</v>
      </c>
      <c r="F25" s="53">
        <f t="shared" si="4"/>
        <v>58.439717099999996</v>
      </c>
      <c r="G25" s="53">
        <f t="shared" si="4"/>
        <v>71.91786747</v>
      </c>
      <c r="H25" s="53">
        <f t="shared" si="4"/>
        <v>67.95101177999994</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1216.076</v>
      </c>
      <c r="C31" s="44">
        <v>1257.2069999999999</v>
      </c>
      <c r="D31" s="44">
        <v>865.111</v>
      </c>
      <c r="E31" s="45">
        <v>2121.317</v>
      </c>
      <c r="F31" s="44">
        <v>1839.4929999999997</v>
      </c>
      <c r="G31" s="44">
        <v>1543.8899999999999</v>
      </c>
      <c r="H31" s="44">
        <v>1244.52</v>
      </c>
    </row>
    <row r="32" spans="1:8" ht="15">
      <c r="A32" s="43" t="str">
        <f>HLOOKUP(INDICE!$F$2,Nombres!$C$3:$D$636,53,FALSE)</f>
        <v>Financial assets designated at fair value </v>
      </c>
      <c r="B32" s="60">
        <v>2339.508</v>
      </c>
      <c r="C32" s="60">
        <v>2408.585</v>
      </c>
      <c r="D32" s="60">
        <v>2874.4489999999996</v>
      </c>
      <c r="E32" s="68">
        <v>2416.871</v>
      </c>
      <c r="F32" s="44">
        <v>2989.4809999999998</v>
      </c>
      <c r="G32" s="44">
        <v>3034.1270000000004</v>
      </c>
      <c r="H32" s="44">
        <v>2883.9139999999998</v>
      </c>
    </row>
    <row r="33" spans="1:8" ht="15">
      <c r="A33" s="43" t="str">
        <f>HLOOKUP(INDICE!$F$2,Nombres!$C$3:$D$636,54,FALSE)</f>
        <v>Financial assets at amortized cost</v>
      </c>
      <c r="B33" s="44">
        <v>12832.96</v>
      </c>
      <c r="C33" s="44">
        <v>13035.92</v>
      </c>
      <c r="D33" s="44">
        <v>12932.649</v>
      </c>
      <c r="E33" s="45">
        <v>12115.914</v>
      </c>
      <c r="F33" s="44">
        <v>12810.717</v>
      </c>
      <c r="G33" s="44">
        <v>12871.11999995</v>
      </c>
      <c r="H33" s="44">
        <v>12859.889000000003</v>
      </c>
    </row>
    <row r="34" spans="1:8" ht="15">
      <c r="A34" s="43" t="str">
        <f>HLOOKUP(INDICE!$F$2,Nombres!$C$3:$D$636,55,FALSE)</f>
        <v>    of which loans and advances to customers</v>
      </c>
      <c r="B34" s="44">
        <v>12345.201999999997</v>
      </c>
      <c r="C34" s="44">
        <v>12542.68</v>
      </c>
      <c r="D34" s="44">
        <v>12446.088000000002</v>
      </c>
      <c r="E34" s="45">
        <v>11609.224</v>
      </c>
      <c r="F34" s="44">
        <v>12265.270999999999</v>
      </c>
      <c r="G34" s="44">
        <v>12327.10099995</v>
      </c>
      <c r="H34" s="44">
        <v>12319.801000000001</v>
      </c>
    </row>
    <row r="35" spans="1:8" ht="15">
      <c r="A35" s="43" t="str">
        <f>HLOOKUP(INDICE!$F$2,Nombres!$C$3:$D$636,56,FALSE)</f>
        <v>Tangible assets</v>
      </c>
      <c r="B35" s="44">
        <v>91.63099999999994</v>
      </c>
      <c r="C35" s="44">
        <v>90.40500000000002</v>
      </c>
      <c r="D35" s="44">
        <v>89.90800000000002</v>
      </c>
      <c r="E35" s="45">
        <v>92.34200000000001</v>
      </c>
      <c r="F35" s="44">
        <v>149.563</v>
      </c>
      <c r="G35" s="44">
        <v>149.15000000000003</v>
      </c>
      <c r="H35" s="44">
        <v>144.44599999999997</v>
      </c>
    </row>
    <row r="36" spans="1:8" ht="15">
      <c r="A36" s="43" t="str">
        <f>HLOOKUP(INDICE!$F$2,Nombres!$C$3:$D$636,57,FALSE)</f>
        <v>Other assets</v>
      </c>
      <c r="B36" s="60">
        <f>+B37-B35-B33-B32-B31</f>
        <v>414.10399999999845</v>
      </c>
      <c r="C36" s="60">
        <f aca="true" t="shared" si="5" ref="C36:H36">+C37-C35-C33-C32-C31</f>
        <v>412.2419999999979</v>
      </c>
      <c r="D36" s="60">
        <f t="shared" si="5"/>
        <v>437.9480000000002</v>
      </c>
      <c r="E36" s="68">
        <f t="shared" si="5"/>
        <v>309.30899999999565</v>
      </c>
      <c r="F36" s="44">
        <f t="shared" si="5"/>
        <v>360.40199999999345</v>
      </c>
      <c r="G36" s="44">
        <f t="shared" si="5"/>
        <v>386.8230000299968</v>
      </c>
      <c r="H36" s="44">
        <f t="shared" si="5"/>
        <v>468.6300000000024</v>
      </c>
    </row>
    <row r="37" spans="1:8" ht="15">
      <c r="A37" s="47" t="str">
        <f>HLOOKUP(INDICE!$F$2,Nombres!$C$3:$D$636,58,FALSE)</f>
        <v>Total assets / Liabilities and equity</v>
      </c>
      <c r="B37" s="47">
        <v>16894.279</v>
      </c>
      <c r="C37" s="47">
        <v>17204.358999999997</v>
      </c>
      <c r="D37" s="47">
        <v>17200.065</v>
      </c>
      <c r="E37" s="47">
        <v>17055.752999999997</v>
      </c>
      <c r="F37" s="53">
        <v>18149.65599999999</v>
      </c>
      <c r="G37" s="53">
        <v>17985.10999998</v>
      </c>
      <c r="H37" s="53">
        <v>17601.399000000005</v>
      </c>
    </row>
    <row r="38" spans="1:8" ht="15">
      <c r="A38" s="43" t="str">
        <f>HLOOKUP(INDICE!$F$2,Nombres!$C$3:$D$636,59,FALSE)</f>
        <v>Financial liabilities held for trading and designated at fair value through profit or loss</v>
      </c>
      <c r="B38" s="60">
        <v>381.34000000000003</v>
      </c>
      <c r="C38" s="60">
        <v>339.652</v>
      </c>
      <c r="D38" s="60">
        <v>330.983</v>
      </c>
      <c r="E38" s="68">
        <v>1217.317</v>
      </c>
      <c r="F38" s="44">
        <v>2164.126</v>
      </c>
      <c r="G38" s="44">
        <v>1739.6079999999997</v>
      </c>
      <c r="H38" s="44">
        <v>1430.3220000000001</v>
      </c>
    </row>
    <row r="39" spans="1:8" ht="15">
      <c r="A39" s="43" t="str">
        <f>HLOOKUP(INDICE!$F$2,Nombres!$C$3:$D$636,60,FALSE)</f>
        <v>Deposits from central banks and credit institutions</v>
      </c>
      <c r="B39" s="60">
        <v>456.08199999999994</v>
      </c>
      <c r="C39" s="60">
        <v>339.102</v>
      </c>
      <c r="D39" s="60">
        <v>331.71900000000005</v>
      </c>
      <c r="E39" s="68">
        <v>354.98</v>
      </c>
      <c r="F39" s="44">
        <v>250.896</v>
      </c>
      <c r="G39" s="44">
        <v>314.9069999999999</v>
      </c>
      <c r="H39" s="44">
        <v>435.275</v>
      </c>
    </row>
    <row r="40" spans="1:8" ht="15.75" customHeight="1">
      <c r="A40" s="43" t="str">
        <f>HLOOKUP(INDICE!$F$2,Nombres!$C$3:$D$636,61,FALSE)</f>
        <v>Deposits from customers</v>
      </c>
      <c r="B40" s="60">
        <v>13051.235</v>
      </c>
      <c r="C40" s="60">
        <v>13467.644</v>
      </c>
      <c r="D40" s="60">
        <v>13425.740999999998</v>
      </c>
      <c r="E40" s="68">
        <v>12382.603</v>
      </c>
      <c r="F40" s="44">
        <v>12680.987000000001</v>
      </c>
      <c r="G40" s="44">
        <v>12716.057</v>
      </c>
      <c r="H40" s="44">
        <v>12554.905</v>
      </c>
    </row>
    <row r="41" spans="1:8" ht="15">
      <c r="A41" s="43" t="str">
        <f>HLOOKUP(INDICE!$F$2,Nombres!$C$3:$D$636,62,FALSE)</f>
        <v>Debt certificates</v>
      </c>
      <c r="B41" s="44">
        <v>612.1610000000001</v>
      </c>
      <c r="C41" s="44">
        <v>636.075</v>
      </c>
      <c r="D41" s="44">
        <v>609.6370000000001</v>
      </c>
      <c r="E41" s="45">
        <v>594.724</v>
      </c>
      <c r="F41" s="44">
        <v>622.0020000000001</v>
      </c>
      <c r="G41" s="44">
        <v>619.153</v>
      </c>
      <c r="H41" s="44">
        <v>594.026</v>
      </c>
    </row>
    <row r="42" spans="1:8" ht="15">
      <c r="A42" s="43" t="str">
        <f>HLOOKUP(INDICE!$F$2,Nombres!$C$3:$D$636,63,FALSE)</f>
        <v>Other liabilities</v>
      </c>
      <c r="B42" s="60">
        <f>+B37-B38-B39-B40-B41-B43</f>
        <v>1410.6411399999974</v>
      </c>
      <c r="C42" s="60">
        <f aca="true" t="shared" si="6" ref="C42:H42">+C37-C38-C39-C40-C41-C43</f>
        <v>1392.7542799999997</v>
      </c>
      <c r="D42" s="60">
        <f t="shared" si="6"/>
        <v>1462.2752079999993</v>
      </c>
      <c r="E42" s="68">
        <f t="shared" si="6"/>
        <v>1481.126763099999</v>
      </c>
      <c r="F42" s="44">
        <f t="shared" si="6"/>
        <v>1404.63847999999</v>
      </c>
      <c r="G42" s="44">
        <f t="shared" si="6"/>
        <v>1605.2743499799985</v>
      </c>
      <c r="H42" s="44">
        <f t="shared" si="6"/>
        <v>1580.1037624900046</v>
      </c>
    </row>
    <row r="43" spans="1:8" ht="15">
      <c r="A43" s="43" t="str">
        <f>HLOOKUP(INDICE!$F$2,Nombres!$C$3:$D$636,64,FALSE)</f>
        <v>Economic capital allocated</v>
      </c>
      <c r="B43" s="44">
        <v>982.81986</v>
      </c>
      <c r="C43" s="44">
        <v>1029.1317199999999</v>
      </c>
      <c r="D43" s="44">
        <v>1039.7097919999999</v>
      </c>
      <c r="E43" s="45">
        <v>1025.0022369</v>
      </c>
      <c r="F43" s="44">
        <v>1027.00652</v>
      </c>
      <c r="G43" s="44">
        <v>990.1106500000002</v>
      </c>
      <c r="H43" s="44">
        <v>1006.76723751</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Relevant business indicators</v>
      </c>
      <c r="B46" s="34"/>
      <c r="C46" s="34"/>
      <c r="D46" s="34"/>
      <c r="E46" s="34"/>
      <c r="F46" s="72"/>
      <c r="G46" s="72"/>
      <c r="H46" s="72"/>
    </row>
    <row r="47" spans="1:8" ht="15">
      <c r="A47" s="35" t="str">
        <f>HLOOKUP(INDICE!$F$2,Nombres!$C$3:$D$636,32,FALSE)</f>
        <v>(Million euros)</v>
      </c>
      <c r="B47" s="30"/>
      <c r="C47" s="30"/>
      <c r="D47" s="30"/>
      <c r="E47" s="30"/>
      <c r="F47" s="73"/>
      <c r="G47" s="44"/>
      <c r="H47" s="44"/>
    </row>
    <row r="48" spans="1:8"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row>
    <row r="49" spans="1:8" ht="15">
      <c r="A49" s="43" t="str">
        <f>HLOOKUP(INDICE!$F$2,Nombres!$C$3:$D$636,66,FALSE)</f>
        <v>Loans and advances to customers (gross) (*)</v>
      </c>
      <c r="B49" s="44">
        <v>13003.801081369998</v>
      </c>
      <c r="C49" s="44">
        <v>13237.81359523</v>
      </c>
      <c r="D49" s="44">
        <v>13190.59354696</v>
      </c>
      <c r="E49" s="45">
        <v>12353.35654115</v>
      </c>
      <c r="F49" s="44">
        <v>12974.37483159</v>
      </c>
      <c r="G49" s="44">
        <v>13004.206074130001</v>
      </c>
      <c r="H49" s="44">
        <v>12942.576376660003</v>
      </c>
    </row>
    <row r="50" spans="1:8" ht="15">
      <c r="A50" s="43" t="str">
        <f>HLOOKUP(INDICE!$F$2,Nombres!$C$3:$D$636,67,FALSE)</f>
        <v>Customer deposits under management (*)</v>
      </c>
      <c r="B50" s="44">
        <v>13039.47596372</v>
      </c>
      <c r="C50" s="44">
        <v>13297.74416668</v>
      </c>
      <c r="D50" s="44">
        <v>13447.41650078</v>
      </c>
      <c r="E50" s="45">
        <v>12543.43357247</v>
      </c>
      <c r="F50" s="44">
        <v>12798.73539784</v>
      </c>
      <c r="G50" s="44">
        <v>12726.47732152</v>
      </c>
      <c r="H50" s="44">
        <v>12564.30995622</v>
      </c>
    </row>
    <row r="51" spans="1:8" ht="15">
      <c r="A51" s="43" t="str">
        <f>HLOOKUP(INDICE!$F$2,Nombres!$C$3:$D$636,68,FALSE)</f>
        <v>Mutual funds</v>
      </c>
      <c r="B51" s="44">
        <v>1257.4631688499999</v>
      </c>
      <c r="C51" s="44">
        <v>1272.84703242</v>
      </c>
      <c r="D51" s="44">
        <v>1405.2295333</v>
      </c>
      <c r="E51" s="45">
        <v>1286.7653151900001</v>
      </c>
      <c r="F51" s="44">
        <v>1449.22646717</v>
      </c>
      <c r="G51" s="44">
        <v>1430.7477092600002</v>
      </c>
      <c r="H51" s="44">
        <v>1472.70736642</v>
      </c>
    </row>
    <row r="52" spans="1:8" ht="15">
      <c r="A52" s="43" t="str">
        <f>HLOOKUP(INDICE!$F$2,Nombres!$C$3:$D$636,69,FALSE)</f>
        <v>Pension funds</v>
      </c>
      <c r="B52" s="44" t="s">
        <v>407</v>
      </c>
      <c r="C52" s="44" t="s">
        <v>407</v>
      </c>
      <c r="D52" s="44" t="s">
        <v>407</v>
      </c>
      <c r="E52" s="45" t="s">
        <v>407</v>
      </c>
      <c r="F52" s="44" t="s">
        <v>407</v>
      </c>
      <c r="G52" s="44" t="s">
        <v>407</v>
      </c>
      <c r="H52" s="44" t="s">
        <v>407</v>
      </c>
    </row>
    <row r="53" spans="1:8" ht="15">
      <c r="A53" s="43" t="str">
        <f>HLOOKUP(INDICE!$F$2,Nombres!$C$3:$D$636,70,FALSE)</f>
        <v>Other off balance-sheet funds</v>
      </c>
      <c r="B53" s="44" t="s">
        <v>407</v>
      </c>
      <c r="C53" s="44" t="s">
        <v>407</v>
      </c>
      <c r="D53" s="44" t="s">
        <v>407</v>
      </c>
      <c r="E53" s="45" t="s">
        <v>407</v>
      </c>
      <c r="F53" s="44" t="s">
        <v>407</v>
      </c>
      <c r="G53" s="44" t="s">
        <v>407</v>
      </c>
      <c r="H53" s="44" t="s">
        <v>407</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201.79989887181753</v>
      </c>
      <c r="C62" s="41">
        <v>196.45664051827214</v>
      </c>
      <c r="D62" s="41">
        <v>196.0571930329861</v>
      </c>
      <c r="E62" s="42">
        <v>204.1762681611611</v>
      </c>
      <c r="F62" s="52">
        <v>207.1985832405691</v>
      </c>
      <c r="G62" s="52">
        <v>206.3892295519628</v>
      </c>
      <c r="H62" s="52">
        <v>209.58818720746805</v>
      </c>
    </row>
    <row r="63" spans="1:8" ht="15">
      <c r="A63" s="43" t="str">
        <f>HLOOKUP(INDICE!$F$2,Nombres!$C$3:$D$636,34,FALSE)</f>
        <v>Net fees and commissions</v>
      </c>
      <c r="B63" s="44">
        <v>22.742529850675126</v>
      </c>
      <c r="C63" s="44">
        <v>22.82270540163053</v>
      </c>
      <c r="D63" s="44">
        <v>20.97596785442909</v>
      </c>
      <c r="E63" s="45">
        <v>27.620019558913715</v>
      </c>
      <c r="F63" s="44">
        <v>21.870271193711282</v>
      </c>
      <c r="G63" s="44">
        <v>23.272339867272482</v>
      </c>
      <c r="H63" s="44">
        <v>22.026031619016237</v>
      </c>
    </row>
    <row r="64" spans="1:8" ht="15">
      <c r="A64" s="43" t="str">
        <f>HLOOKUP(INDICE!$F$2,Nombres!$C$3:$D$636,35,FALSE)</f>
        <v>Net trading income</v>
      </c>
      <c r="B64" s="44">
        <v>13.567039014671211</v>
      </c>
      <c r="C64" s="44">
        <v>13.966965120054896</v>
      </c>
      <c r="D64" s="44">
        <v>15.258794609599839</v>
      </c>
      <c r="E64" s="45">
        <v>17.745640508089792</v>
      </c>
      <c r="F64" s="44">
        <v>19.764876215277635</v>
      </c>
      <c r="G64" s="44">
        <v>18.0480574377181</v>
      </c>
      <c r="H64" s="44">
        <v>12.827037877004297</v>
      </c>
    </row>
    <row r="65" spans="1:8" ht="15">
      <c r="A65" s="43" t="str">
        <f>HLOOKUP(INDICE!$F$2,Nombres!$C$3:$D$636,36,FALSE)</f>
        <v>Other operating income and expenses</v>
      </c>
      <c r="B65" s="44">
        <v>6.348243094842104</v>
      </c>
      <c r="C65" s="44">
        <v>3.902890480192376</v>
      </c>
      <c r="D65" s="44">
        <v>2.0132771577586244</v>
      </c>
      <c r="E65" s="45">
        <v>4.869844688684252</v>
      </c>
      <c r="F65" s="44">
        <v>8.185084267081745</v>
      </c>
      <c r="G65" s="44">
        <v>1.7252822562989687</v>
      </c>
      <c r="H65" s="44">
        <v>2.531633476619287</v>
      </c>
    </row>
    <row r="66" spans="1:8" ht="15">
      <c r="A66" s="41" t="str">
        <f>HLOOKUP(INDICE!$F$2,Nombres!$C$3:$D$636,37,FALSE)</f>
        <v>Gross income</v>
      </c>
      <c r="B66" s="41">
        <f>+SUM(B62:B65)</f>
        <v>244.457710832006</v>
      </c>
      <c r="C66" s="41">
        <f aca="true" t="shared" si="9" ref="C66:H66">+SUM(C62:C65)</f>
        <v>237.14920152014994</v>
      </c>
      <c r="D66" s="41">
        <f t="shared" si="9"/>
        <v>234.30523265477368</v>
      </c>
      <c r="E66" s="42">
        <f t="shared" si="9"/>
        <v>254.41177291684886</v>
      </c>
      <c r="F66" s="52">
        <f t="shared" si="9"/>
        <v>257.01881491663977</v>
      </c>
      <c r="G66" s="52">
        <f t="shared" si="9"/>
        <v>249.43490911325236</v>
      </c>
      <c r="H66" s="52">
        <f t="shared" si="9"/>
        <v>246.97289018010787</v>
      </c>
    </row>
    <row r="67" spans="1:8" ht="15">
      <c r="A67" s="43" t="str">
        <f>HLOOKUP(INDICE!$F$2,Nombres!$C$3:$D$636,38,FALSE)</f>
        <v>Operating expenses</v>
      </c>
      <c r="B67" s="44">
        <v>-90.85088982440227</v>
      </c>
      <c r="C67" s="44">
        <v>-87.19183601985974</v>
      </c>
      <c r="D67" s="44">
        <v>-87.88420193185834</v>
      </c>
      <c r="E67" s="45">
        <v>-93.71974284584911</v>
      </c>
      <c r="F67" s="44">
        <v>-91.4532978329094</v>
      </c>
      <c r="G67" s="44">
        <v>-87.51532341809187</v>
      </c>
      <c r="H67" s="44">
        <v>-91.44831146899874</v>
      </c>
    </row>
    <row r="68" spans="1:8" ht="15">
      <c r="A68" s="43" t="str">
        <f>HLOOKUP(INDICE!$F$2,Nombres!$C$3:$D$636,39,FALSE)</f>
        <v>  Administration expenses</v>
      </c>
      <c r="B68" s="44">
        <v>-86.84720666982682</v>
      </c>
      <c r="C68" s="44">
        <v>-82.51332064563518</v>
      </c>
      <c r="D68" s="44">
        <v>-82.89601170334112</v>
      </c>
      <c r="E68" s="45">
        <v>-88.3594095379329</v>
      </c>
      <c r="F68" s="44">
        <v>-84.16646907774411</v>
      </c>
      <c r="G68" s="44">
        <v>-80.19047325738084</v>
      </c>
      <c r="H68" s="44">
        <v>-83.39599038487505</v>
      </c>
    </row>
    <row r="69" spans="1:8" ht="15">
      <c r="A69" s="46" t="str">
        <f>HLOOKUP(INDICE!$F$2,Nombres!$C$3:$D$636,40,FALSE)</f>
        <v>  Personnel expenses</v>
      </c>
      <c r="B69" s="44">
        <v>-41.34889818995789</v>
      </c>
      <c r="C69" s="44">
        <v>-38.096942901829706</v>
      </c>
      <c r="D69" s="44">
        <v>-39.81835877001379</v>
      </c>
      <c r="E69" s="45">
        <v>-40.81877172555193</v>
      </c>
      <c r="F69" s="44">
        <v>-43.99299326335866</v>
      </c>
      <c r="G69" s="44">
        <v>-41.50358928160017</v>
      </c>
      <c r="H69" s="44">
        <v>-43.275417455041165</v>
      </c>
    </row>
    <row r="70" spans="1:8" ht="15">
      <c r="A70" s="46" t="str">
        <f>HLOOKUP(INDICE!$F$2,Nombres!$C$3:$D$636,41,FALSE)</f>
        <v>  General and administrative expenses</v>
      </c>
      <c r="B70" s="44">
        <v>-45.49830847986894</v>
      </c>
      <c r="C70" s="44">
        <v>-44.41637774380546</v>
      </c>
      <c r="D70" s="44">
        <v>-43.07765293332732</v>
      </c>
      <c r="E70" s="45">
        <v>-47.540637812380965</v>
      </c>
      <c r="F70" s="44">
        <v>-40.17347581438545</v>
      </c>
      <c r="G70" s="44">
        <v>-38.686883975780674</v>
      </c>
      <c r="H70" s="44">
        <v>-40.120572929833884</v>
      </c>
    </row>
    <row r="71" spans="1:8" ht="15">
      <c r="A71" s="43" t="str">
        <f>HLOOKUP(INDICE!$F$2,Nombres!$C$3:$D$636,42,FALSE)</f>
        <v>  Depreciation</v>
      </c>
      <c r="B71" s="44">
        <v>-4.003683154575439</v>
      </c>
      <c r="C71" s="44">
        <v>-4.678515374224561</v>
      </c>
      <c r="D71" s="44">
        <v>-4.988190228517241</v>
      </c>
      <c r="E71" s="45">
        <v>-5.360333307916209</v>
      </c>
      <c r="F71" s="44">
        <v>-7.286828755165302</v>
      </c>
      <c r="G71" s="44">
        <v>-7.324850160711008</v>
      </c>
      <c r="H71" s="44">
        <v>-8.052321084123692</v>
      </c>
    </row>
    <row r="72" spans="1:8" ht="15">
      <c r="A72" s="41" t="str">
        <f>HLOOKUP(INDICE!$F$2,Nombres!$C$3:$D$636,43,FALSE)</f>
        <v>Operating income</v>
      </c>
      <c r="B72" s="41">
        <f>+B66+B67</f>
        <v>153.60682100760374</v>
      </c>
      <c r="C72" s="41">
        <f aca="true" t="shared" si="10" ref="C72:H72">+C66+C67</f>
        <v>149.95736550029022</v>
      </c>
      <c r="D72" s="41">
        <f t="shared" si="10"/>
        <v>146.42103072291533</v>
      </c>
      <c r="E72" s="42">
        <f t="shared" si="10"/>
        <v>160.69203007099975</v>
      </c>
      <c r="F72" s="52">
        <f t="shared" si="10"/>
        <v>165.56551708373036</v>
      </c>
      <c r="G72" s="52">
        <f t="shared" si="10"/>
        <v>161.9195856951605</v>
      </c>
      <c r="H72" s="52">
        <f t="shared" si="10"/>
        <v>155.52457871110914</v>
      </c>
    </row>
    <row r="73" spans="1:8" ht="15">
      <c r="A73" s="43" t="str">
        <f>HLOOKUP(INDICE!$F$2,Nombres!$C$3:$D$636,44,FALSE)</f>
        <v>Impaiment on financial assets not measured at fair value through profit or loss</v>
      </c>
      <c r="B73" s="44">
        <v>-53.06205743101053</v>
      </c>
      <c r="C73" s="44">
        <v>-64.33142306948602</v>
      </c>
      <c r="D73" s="44">
        <v>-60.59822131171724</v>
      </c>
      <c r="E73" s="45">
        <v>-87.72998442746564</v>
      </c>
      <c r="F73" s="44">
        <v>-71.08449692177973</v>
      </c>
      <c r="G73" s="44">
        <v>-46.70168888481619</v>
      </c>
      <c r="H73" s="44">
        <v>-41.14081419340408</v>
      </c>
    </row>
    <row r="74" spans="1:8" ht="15">
      <c r="A74" s="43" t="str">
        <f>HLOOKUP(INDICE!$F$2,Nombres!$C$3:$D$636,45,FALSE)</f>
        <v>Provisions or reversal of provisions and other results</v>
      </c>
      <c r="B74" s="44">
        <v>-2.710897430933333</v>
      </c>
      <c r="C74" s="44">
        <v>-9.592357708197701</v>
      </c>
      <c r="D74" s="44">
        <v>1.5821989898620694</v>
      </c>
      <c r="E74" s="45">
        <v>-1.3412758604871327</v>
      </c>
      <c r="F74" s="44">
        <v>-1.2779103470183812</v>
      </c>
      <c r="G74" s="44">
        <v>-6.314461729367664</v>
      </c>
      <c r="H74" s="44">
        <v>-3.0156279236139563</v>
      </c>
    </row>
    <row r="75" spans="1:8" ht="15">
      <c r="A75" s="41" t="str">
        <f>HLOOKUP(INDICE!$F$2,Nombres!$C$3:$D$636,46,FALSE)</f>
        <v>Profit/(loss) before tax</v>
      </c>
      <c r="B75" s="41">
        <f>+B72+B73+B74</f>
        <v>97.83386614565988</v>
      </c>
      <c r="C75" s="41">
        <f aca="true" t="shared" si="11" ref="C75:H75">+C72+C73+C74</f>
        <v>76.0335847226065</v>
      </c>
      <c r="D75" s="41">
        <f t="shared" si="11"/>
        <v>87.40500840106016</v>
      </c>
      <c r="E75" s="42">
        <f t="shared" si="11"/>
        <v>71.62076978304698</v>
      </c>
      <c r="F75" s="52">
        <f t="shared" si="11"/>
        <v>93.20310981493225</v>
      </c>
      <c r="G75" s="52">
        <f t="shared" si="11"/>
        <v>108.90343508097664</v>
      </c>
      <c r="H75" s="52">
        <f t="shared" si="11"/>
        <v>111.3681365940911</v>
      </c>
    </row>
    <row r="76" spans="1:8" ht="15">
      <c r="A76" s="43" t="str">
        <f>HLOOKUP(INDICE!$F$2,Nombres!$C$3:$D$636,47,FALSE)</f>
        <v>Income tax</v>
      </c>
      <c r="B76" s="44">
        <v>-35.204694916372</v>
      </c>
      <c r="C76" s="44">
        <v>-20.112465591370956</v>
      </c>
      <c r="D76" s="44">
        <v>-31.850713943811073</v>
      </c>
      <c r="E76" s="45">
        <v>-22.738535732891087</v>
      </c>
      <c r="F76" s="44">
        <v>-33.7336679456563</v>
      </c>
      <c r="G76" s="44">
        <v>-34.218447714897486</v>
      </c>
      <c r="H76" s="44">
        <v>-39.32823217944623</v>
      </c>
    </row>
    <row r="77" spans="1:8" ht="15">
      <c r="A77" s="41" t="str">
        <f>HLOOKUP(INDICE!$F$2,Nombres!$C$3:$D$636,48,FALSE)</f>
        <v>Profit/(loss) for the year</v>
      </c>
      <c r="B77" s="41">
        <f>+B75+B76</f>
        <v>62.629171229287884</v>
      </c>
      <c r="C77" s="41">
        <f aca="true" t="shared" si="12" ref="C77:H77">+C75+C76</f>
        <v>55.92111913123555</v>
      </c>
      <c r="D77" s="41">
        <f t="shared" si="12"/>
        <v>55.554294457249085</v>
      </c>
      <c r="E77" s="42">
        <f t="shared" si="12"/>
        <v>48.882234050155894</v>
      </c>
      <c r="F77" s="52">
        <f t="shared" si="12"/>
        <v>59.46944186927595</v>
      </c>
      <c r="G77" s="52">
        <f t="shared" si="12"/>
        <v>74.68498736607916</v>
      </c>
      <c r="H77" s="52">
        <f t="shared" si="12"/>
        <v>72.03990441464487</v>
      </c>
    </row>
    <row r="78" spans="1:8" ht="15">
      <c r="A78" s="43" t="str">
        <f>HLOOKUP(INDICE!$F$2,Nombres!$C$3:$D$636,49,FALSE)</f>
        <v>Non-controlling interests</v>
      </c>
      <c r="B78" s="44">
        <v>-2.443225182807207</v>
      </c>
      <c r="C78" s="44">
        <v>-2.00519080200573</v>
      </c>
      <c r="D78" s="44">
        <v>-2.2323214567181315</v>
      </c>
      <c r="E78" s="45">
        <v>-1.6907389376644235</v>
      </c>
      <c r="F78" s="44">
        <v>-2.2866553769964497</v>
      </c>
      <c r="G78" s="44">
        <v>-2.846357480519996</v>
      </c>
      <c r="H78" s="44">
        <v>-2.7527244424835535</v>
      </c>
    </row>
    <row r="79" spans="1:8" ht="15">
      <c r="A79" s="47" t="str">
        <f>HLOOKUP(INDICE!$F$2,Nombres!$C$3:$D$636,50,FALSE)</f>
        <v>Net attributable profit</v>
      </c>
      <c r="B79" s="47">
        <f>+B77+B78</f>
        <v>60.18594604648068</v>
      </c>
      <c r="C79" s="47">
        <f aca="true" t="shared" si="13" ref="C79:H79">+C77+C78</f>
        <v>53.91592832922982</v>
      </c>
      <c r="D79" s="47">
        <f t="shared" si="13"/>
        <v>53.32197300053095</v>
      </c>
      <c r="E79" s="47">
        <f t="shared" si="13"/>
        <v>47.191495112491474</v>
      </c>
      <c r="F79" s="53">
        <f t="shared" si="13"/>
        <v>57.1827864922795</v>
      </c>
      <c r="G79" s="53">
        <f t="shared" si="13"/>
        <v>71.83862988555916</v>
      </c>
      <c r="H79" s="53">
        <f t="shared" si="13"/>
        <v>69.28717997216131</v>
      </c>
    </row>
    <row r="80" spans="1:8" ht="15">
      <c r="A80" s="65"/>
      <c r="B80" s="66">
        <v>0</v>
      </c>
      <c r="C80" s="66">
        <v>0</v>
      </c>
      <c r="D80" s="66">
        <v>0</v>
      </c>
      <c r="E80" s="66">
        <v>0</v>
      </c>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1104.7437424427396</v>
      </c>
      <c r="C85" s="44">
        <v>1146.0339563125772</v>
      </c>
      <c r="D85" s="44">
        <v>794.0679649414533</v>
      </c>
      <c r="E85" s="45">
        <v>2107.5505266208243</v>
      </c>
      <c r="F85" s="44">
        <v>1749.3372279701325</v>
      </c>
      <c r="G85" s="44">
        <v>1490.1026250352566</v>
      </c>
      <c r="H85" s="44">
        <v>1244.52</v>
      </c>
    </row>
    <row r="86" spans="1:8" ht="15">
      <c r="A86" s="43" t="str">
        <f>HLOOKUP(INDICE!$F$2,Nombres!$C$3:$D$636,53,FALSE)</f>
        <v>Financial assets designated at fair value </v>
      </c>
      <c r="B86" s="60">
        <v>2125.325081158356</v>
      </c>
      <c r="C86" s="60">
        <v>2195.597221989003</v>
      </c>
      <c r="D86" s="60">
        <v>2638.398850272388</v>
      </c>
      <c r="E86" s="68">
        <v>2401.186502924644</v>
      </c>
      <c r="F86" s="44">
        <v>2842.9629281597586</v>
      </c>
      <c r="G86" s="44">
        <v>2928.4214596832335</v>
      </c>
      <c r="H86" s="44">
        <v>2883.9139999999998</v>
      </c>
    </row>
    <row r="87" spans="1:8" ht="15">
      <c r="A87" s="43" t="str">
        <f>HLOOKUP(INDICE!$F$2,Nombres!$C$3:$D$636,54,FALSE)</f>
        <v>Financial assets at amortized cost</v>
      </c>
      <c r="B87" s="44">
        <v>11658.09723818082</v>
      </c>
      <c r="C87" s="44">
        <v>11883.171961160138</v>
      </c>
      <c r="D87" s="44">
        <v>11870.61807413398</v>
      </c>
      <c r="E87" s="45">
        <v>12037.28670971506</v>
      </c>
      <c r="F87" s="44">
        <v>12182.84829846586</v>
      </c>
      <c r="G87" s="44">
        <v>12422.70479054161</v>
      </c>
      <c r="H87" s="44">
        <v>12859.889000000003</v>
      </c>
    </row>
    <row r="88" spans="1:8" ht="15">
      <c r="A88" s="43" t="str">
        <f>HLOOKUP(INDICE!$F$2,Nombres!$C$3:$D$636,55,FALSE)</f>
        <v>    of which loans and advances to customers</v>
      </c>
      <c r="B88" s="44">
        <v>11214.993683529314</v>
      </c>
      <c r="C88" s="44">
        <v>11433.548479417179</v>
      </c>
      <c r="D88" s="44">
        <v>11424.013530798064</v>
      </c>
      <c r="E88" s="45">
        <v>11533.884919066371</v>
      </c>
      <c r="F88" s="44">
        <v>11664.135265229308</v>
      </c>
      <c r="G88" s="44">
        <v>11897.638794927252</v>
      </c>
      <c r="H88" s="44">
        <v>12319.801000000001</v>
      </c>
    </row>
    <row r="89" spans="1:8" ht="15">
      <c r="A89" s="43" t="str">
        <f>HLOOKUP(INDICE!$F$2,Nombres!$C$3:$D$636,56,FALSE)</f>
        <v>Tangible assets</v>
      </c>
      <c r="B89" s="44">
        <v>83.24214429342467</v>
      </c>
      <c r="C89" s="44">
        <v>82.41061322474229</v>
      </c>
      <c r="D89" s="44">
        <v>82.52474259598617</v>
      </c>
      <c r="E89" s="45">
        <v>91.74273846352061</v>
      </c>
      <c r="F89" s="44">
        <v>142.23273686113347</v>
      </c>
      <c r="G89" s="44">
        <v>143.95378331617434</v>
      </c>
      <c r="H89" s="44">
        <v>144.44599999999997</v>
      </c>
    </row>
    <row r="90" spans="1:8" ht="15">
      <c r="A90" s="43" t="str">
        <f>HLOOKUP(INDICE!$F$2,Nombres!$C$3:$D$636,57,FALSE)</f>
        <v>Other assets</v>
      </c>
      <c r="B90" s="60">
        <f>+B91-B89-B87-B86-B85</f>
        <v>376.1926086202727</v>
      </c>
      <c r="C90" s="60">
        <f aca="true" t="shared" si="15" ref="C90:H90">+C91-C89-C87-C86-C85</f>
        <v>375.7880207620624</v>
      </c>
      <c r="D90" s="60">
        <f t="shared" si="15"/>
        <v>401.98364962436153</v>
      </c>
      <c r="E90" s="68">
        <f t="shared" si="15"/>
        <v>307.30171202067413</v>
      </c>
      <c r="F90" s="44">
        <f t="shared" si="15"/>
        <v>342.73826300773953</v>
      </c>
      <c r="G90" s="44">
        <f t="shared" si="15"/>
        <v>373.34652583326397</v>
      </c>
      <c r="H90" s="44">
        <f t="shared" si="15"/>
        <v>468.6300000000024</v>
      </c>
    </row>
    <row r="91" spans="1:8" ht="15">
      <c r="A91" s="47" t="str">
        <f>HLOOKUP(INDICE!$F$2,Nombres!$C$3:$D$636,58,FALSE)</f>
        <v>Total assets / Liabilities and equity</v>
      </c>
      <c r="B91" s="47">
        <v>15347.600814695614</v>
      </c>
      <c r="C91" s="47">
        <v>15683.001773448523</v>
      </c>
      <c r="D91" s="47">
        <v>15787.593281568168</v>
      </c>
      <c r="E91" s="47">
        <v>16945.06818974472</v>
      </c>
      <c r="F91" s="53">
        <v>17260.119454464624</v>
      </c>
      <c r="G91" s="53">
        <v>17358.529184409537</v>
      </c>
      <c r="H91" s="53">
        <v>17601.399000000005</v>
      </c>
    </row>
    <row r="92" spans="1:8" ht="15">
      <c r="A92" s="43" t="str">
        <f>HLOOKUP(INDICE!$F$2,Nombres!$C$3:$D$636,59,FALSE)</f>
        <v>Financial liabilities held for trading and designated at fair value through profit or loss</v>
      </c>
      <c r="B92" s="60">
        <v>346.4281662849315</v>
      </c>
      <c r="C92" s="60">
        <v>309.61705218749137</v>
      </c>
      <c r="D92" s="60">
        <v>303.80263022920417</v>
      </c>
      <c r="E92" s="68">
        <v>1209.4171141863671</v>
      </c>
      <c r="F92" s="44">
        <v>2058.0595728377825</v>
      </c>
      <c r="G92" s="44">
        <v>1679.0020320957658</v>
      </c>
      <c r="H92" s="44">
        <v>1430.3220000000001</v>
      </c>
    </row>
    <row r="93" spans="1:8" ht="15">
      <c r="A93" s="43" t="str">
        <f>HLOOKUP(INDICE!$F$2,Nombres!$C$3:$D$636,60,FALSE)</f>
        <v>Deposits from central banks and credit institutions</v>
      </c>
      <c r="B93" s="60">
        <v>414.32750546904106</v>
      </c>
      <c r="C93" s="60">
        <v>309.1156879125773</v>
      </c>
      <c r="D93" s="60">
        <v>304.4781898073357</v>
      </c>
      <c r="E93" s="68">
        <v>352.67632604644194</v>
      </c>
      <c r="F93" s="44">
        <v>238.5992842314672</v>
      </c>
      <c r="G93" s="44">
        <v>303.9359976047371</v>
      </c>
      <c r="H93" s="44">
        <v>435.275</v>
      </c>
    </row>
    <row r="94" spans="1:8" ht="15">
      <c r="A94" s="43" t="str">
        <f>HLOOKUP(INDICE!$F$2,Nombres!$C$3:$D$636,61,FALSE)</f>
        <v>Deposits from customers</v>
      </c>
      <c r="B94" s="60">
        <v>11856.389072228767</v>
      </c>
      <c r="C94" s="60">
        <v>12276.719216111065</v>
      </c>
      <c r="D94" s="60">
        <v>12323.217290845952</v>
      </c>
      <c r="E94" s="68">
        <v>12302.245007976928</v>
      </c>
      <c r="F94" s="44">
        <v>12059.476522338104</v>
      </c>
      <c r="G94" s="44">
        <v>12273.044009481211</v>
      </c>
      <c r="H94" s="44">
        <v>12554.905</v>
      </c>
    </row>
    <row r="95" spans="1:8" ht="15">
      <c r="A95" s="43" t="str">
        <f>HLOOKUP(INDICE!$F$2,Nombres!$C$3:$D$636,62,FALSE)</f>
        <v>Debt certificates</v>
      </c>
      <c r="B95" s="44">
        <v>556.1174088769864</v>
      </c>
      <c r="C95" s="44">
        <v>579.8277839381442</v>
      </c>
      <c r="D95" s="44">
        <v>559.5735251811766</v>
      </c>
      <c r="E95" s="45">
        <v>590.8644862573782</v>
      </c>
      <c r="F95" s="44">
        <v>591.5169312804551</v>
      </c>
      <c r="G95" s="44">
        <v>597.5824123470288</v>
      </c>
      <c r="H95" s="44">
        <v>594.026</v>
      </c>
    </row>
    <row r="96" spans="1:8" ht="15">
      <c r="A96" s="43" t="str">
        <f>HLOOKUP(INDICE!$F$2,Nombres!$C$3:$D$636,63,FALSE)</f>
        <v>Other liabilities</v>
      </c>
      <c r="B96" s="60">
        <f>+B91-B92-B93-B94-B95-B97</f>
        <v>1281.4963639174612</v>
      </c>
      <c r="C96" s="60">
        <f aca="true" t="shared" si="16" ref="C96:H96">+C91-C92-C93-C94-C95-C97</f>
        <v>1269.5949813194447</v>
      </c>
      <c r="D96" s="60">
        <f t="shared" si="16"/>
        <v>1342.1929655280087</v>
      </c>
      <c r="E96" s="68">
        <f t="shared" si="16"/>
        <v>1471.5148606095229</v>
      </c>
      <c r="F96" s="44">
        <f t="shared" si="16"/>
        <v>1335.7954528249857</v>
      </c>
      <c r="G96" s="44">
        <f t="shared" si="16"/>
        <v>1549.3484139459197</v>
      </c>
      <c r="H96" s="44">
        <f t="shared" si="16"/>
        <v>1580.1037624900046</v>
      </c>
    </row>
    <row r="97" spans="1:8" ht="15">
      <c r="A97" s="43" t="str">
        <f>HLOOKUP(INDICE!$F$2,Nombres!$C$3:$D$636,64,FALSE)</f>
        <v>Economic capital allocated</v>
      </c>
      <c r="B97" s="44">
        <v>892.8422979184273</v>
      </c>
      <c r="C97" s="44">
        <v>938.1270519797991</v>
      </c>
      <c r="D97" s="44">
        <v>954.3286799764905</v>
      </c>
      <c r="E97" s="45">
        <v>1018.3503946680846</v>
      </c>
      <c r="F97" s="44">
        <v>976.6716909518286</v>
      </c>
      <c r="G97" s="44">
        <v>955.616318934875</v>
      </c>
      <c r="H97" s="44">
        <v>1006.76723751</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11813.297748342731</v>
      </c>
      <c r="C103" s="44">
        <v>12067.212390218841</v>
      </c>
      <c r="D103" s="44">
        <v>12107.380179195954</v>
      </c>
      <c r="E103" s="45">
        <v>12273.188346595765</v>
      </c>
      <c r="F103" s="44">
        <v>12338.485062209591</v>
      </c>
      <c r="G103" s="44">
        <v>12551.15429697747</v>
      </c>
      <c r="H103" s="44">
        <v>12942.576376660003</v>
      </c>
    </row>
    <row r="104" spans="1:8" ht="15">
      <c r="A104" s="43" t="str">
        <f>HLOOKUP(INDICE!$F$2,Nombres!$C$3:$D$636,67,FALSE)</f>
        <v>Customer deposits under management (*)</v>
      </c>
      <c r="B104" s="44">
        <v>11845.706580552682</v>
      </c>
      <c r="C104" s="44">
        <v>12121.84338567378</v>
      </c>
      <c r="D104" s="44">
        <v>12343.11279650183</v>
      </c>
      <c r="E104" s="45">
        <v>12462.031856291385</v>
      </c>
      <c r="F104" s="44">
        <v>12171.453929088415</v>
      </c>
      <c r="G104" s="44">
        <v>12283.10129882868</v>
      </c>
      <c r="H104" s="44">
        <v>12564.30995622</v>
      </c>
    </row>
    <row r="105" spans="1:8" ht="15">
      <c r="A105" s="43" t="str">
        <f>HLOOKUP(INDICE!$F$2,Nombres!$C$3:$D$636,68,FALSE)</f>
        <v>Mutual funds</v>
      </c>
      <c r="B105" s="44">
        <v>1142.3418989760967</v>
      </c>
      <c r="C105" s="44">
        <v>1160.2909627014612</v>
      </c>
      <c r="D105" s="44">
        <v>1289.831889529967</v>
      </c>
      <c r="E105" s="45">
        <v>1278.4147384224493</v>
      </c>
      <c r="F105" s="44">
        <v>1378.198128930154</v>
      </c>
      <c r="G105" s="44">
        <v>1380.9020832646795</v>
      </c>
      <c r="H105" s="44">
        <v>1472.70736642</v>
      </c>
    </row>
    <row r="106" spans="1:8" ht="15">
      <c r="A106" s="43" t="str">
        <f>HLOOKUP(INDICE!$F$2,Nombres!$C$3:$D$636,69,FALSE)</f>
        <v>Pension funds</v>
      </c>
      <c r="B106" s="44" t="s">
        <v>407</v>
      </c>
      <c r="C106" s="44" t="s">
        <v>407</v>
      </c>
      <c r="D106" s="44" t="s">
        <v>407</v>
      </c>
      <c r="E106" s="45" t="s">
        <v>407</v>
      </c>
      <c r="F106" s="44" t="s">
        <v>407</v>
      </c>
      <c r="G106" s="44" t="s">
        <v>407</v>
      </c>
      <c r="H106" s="44" t="s">
        <v>407</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HLOOKUP(INDICE!$F$2,Nombres!$C$3:$D$636,75,FALSE)</f>
        <v>(Million Colombian pesos)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734477.1929824563</v>
      </c>
      <c r="C116" s="41">
        <v>715029.7035692678</v>
      </c>
      <c r="D116" s="41">
        <v>713575.862068965</v>
      </c>
      <c r="E116" s="42">
        <v>743126.3006127602</v>
      </c>
      <c r="F116" s="52">
        <v>754126.4126457309</v>
      </c>
      <c r="G116" s="52">
        <v>751180.6637694384</v>
      </c>
      <c r="H116" s="52">
        <v>762823.6896203957</v>
      </c>
    </row>
    <row r="117" spans="1:8" ht="15">
      <c r="A117" s="43" t="str">
        <f>HLOOKUP(INDICE!$F$2,Nombres!$C$3:$D$636,34,FALSE)</f>
        <v>Net fees and commissions</v>
      </c>
      <c r="B117" s="44">
        <v>82774.41950877194</v>
      </c>
      <c r="C117" s="44">
        <v>83066.22893950388</v>
      </c>
      <c r="D117" s="44">
        <v>76344.78548275866</v>
      </c>
      <c r="E117" s="45">
        <v>100526.68286339061</v>
      </c>
      <c r="F117" s="44">
        <v>79599.71975172011</v>
      </c>
      <c r="G117" s="44">
        <v>84702.73253558666</v>
      </c>
      <c r="H117" s="44">
        <v>80166.63024372386</v>
      </c>
    </row>
    <row r="118" spans="1:8" ht="15">
      <c r="A118" s="43" t="str">
        <f>HLOOKUP(INDICE!$F$2,Nombres!$C$3:$D$636,35,FALSE)</f>
        <v>Net trading income</v>
      </c>
      <c r="B118" s="44">
        <v>49379.01747368421</v>
      </c>
      <c r="C118" s="44">
        <v>50834.60097459165</v>
      </c>
      <c r="D118" s="44">
        <v>55536.38379310348</v>
      </c>
      <c r="E118" s="45">
        <v>64587.58552865558</v>
      </c>
      <c r="F118" s="44">
        <v>71936.85865751536</v>
      </c>
      <c r="G118" s="44">
        <v>65688.27159849773</v>
      </c>
      <c r="H118" s="44">
        <v>46685.68630039821</v>
      </c>
    </row>
    <row r="119" spans="1:8" ht="15">
      <c r="A119" s="43" t="str">
        <f>HLOOKUP(INDICE!$F$2,Nombres!$C$3:$D$636,36,FALSE)</f>
        <v>Other operating income and expenses</v>
      </c>
      <c r="B119" s="44">
        <v>23105.263157894737</v>
      </c>
      <c r="C119" s="44">
        <v>14205.081669691464</v>
      </c>
      <c r="D119" s="44">
        <v>7327.586206896554</v>
      </c>
      <c r="E119" s="45">
        <v>17724.43830349636</v>
      </c>
      <c r="F119" s="44">
        <v>29790.687460302986</v>
      </c>
      <c r="G119" s="44">
        <v>6279.390999664518</v>
      </c>
      <c r="H119" s="44">
        <v>9214.21199893094</v>
      </c>
    </row>
    <row r="120" spans="1:8" ht="15">
      <c r="A120" s="41" t="str">
        <f>HLOOKUP(INDICE!$F$2,Nombres!$C$3:$D$636,37,FALSE)</f>
        <v>Gross income</v>
      </c>
      <c r="B120" s="41">
        <f>+SUM(B116:B119)</f>
        <v>889735.8931228071</v>
      </c>
      <c r="C120" s="41">
        <f aca="true" t="shared" si="19" ref="C120:H120">+SUM(C116:C119)</f>
        <v>863135.6151530548</v>
      </c>
      <c r="D120" s="41">
        <f t="shared" si="19"/>
        <v>852784.6175517237</v>
      </c>
      <c r="E120" s="42">
        <f t="shared" si="19"/>
        <v>925965.0073083028</v>
      </c>
      <c r="F120" s="52">
        <f t="shared" si="19"/>
        <v>935453.6785152693</v>
      </c>
      <c r="G120" s="52">
        <f t="shared" si="19"/>
        <v>907851.0589031874</v>
      </c>
      <c r="H120" s="52">
        <f t="shared" si="19"/>
        <v>898890.2181634486</v>
      </c>
    </row>
    <row r="121" spans="1:8" ht="15">
      <c r="A121" s="43" t="str">
        <f>HLOOKUP(INDICE!$F$2,Nombres!$C$3:$D$636,38,FALSE)</f>
        <v>Operating expenses</v>
      </c>
      <c r="B121" s="44">
        <v>-330663.72635087726</v>
      </c>
      <c r="C121" s="44">
        <v>-317346.1202353297</v>
      </c>
      <c r="D121" s="44">
        <v>-319866.0767586207</v>
      </c>
      <c r="E121" s="45">
        <v>-341105.29310116556</v>
      </c>
      <c r="F121" s="44">
        <v>-332856.2692886689</v>
      </c>
      <c r="G121" s="44">
        <v>-318523.49503852346</v>
      </c>
      <c r="H121" s="44">
        <v>-332838.12076337833</v>
      </c>
    </row>
    <row r="122" spans="1:8" ht="15">
      <c r="A122" s="43" t="str">
        <f>HLOOKUP(INDICE!$F$2,Nombres!$C$3:$D$636,39,FALSE)</f>
        <v>  Administration expenses</v>
      </c>
      <c r="B122" s="44">
        <v>-316091.79652631574</v>
      </c>
      <c r="C122" s="44">
        <v>-300318.05005989113</v>
      </c>
      <c r="D122" s="44">
        <v>-301710.9043448276</v>
      </c>
      <c r="E122" s="45">
        <v>-321595.6571525893</v>
      </c>
      <c r="F122" s="44">
        <v>-306334.90054785885</v>
      </c>
      <c r="G122" s="44">
        <v>-291863.742406668</v>
      </c>
      <c r="H122" s="44">
        <v>-303530.64231604117</v>
      </c>
    </row>
    <row r="123" spans="1:8" ht="15">
      <c r="A123" s="46" t="str">
        <f>HLOOKUP(INDICE!$F$2,Nombres!$C$3:$D$636,40,FALSE)</f>
        <v>  Personnel expenses</v>
      </c>
      <c r="B123" s="44">
        <v>-150494.73684210528</v>
      </c>
      <c r="C123" s="44">
        <v>-138658.81915789476</v>
      </c>
      <c r="D123" s="44">
        <v>-144924.13793103446</v>
      </c>
      <c r="E123" s="45">
        <v>-148565.27206199692</v>
      </c>
      <c r="F123" s="44">
        <v>-160118.26756906416</v>
      </c>
      <c r="G123" s="44">
        <v>-151057.75535402723</v>
      </c>
      <c r="H123" s="44">
        <v>-157506.5563224697</v>
      </c>
    </row>
    <row r="124" spans="1:8" ht="15">
      <c r="A124" s="46" t="str">
        <f>HLOOKUP(INDICE!$F$2,Nombres!$C$3:$D$636,41,FALSE)</f>
        <v>  General and administrative expenses</v>
      </c>
      <c r="B124" s="44">
        <v>-165597.05968421054</v>
      </c>
      <c r="C124" s="44">
        <v>-161659.23090199637</v>
      </c>
      <c r="D124" s="44">
        <v>-156786.76641379308</v>
      </c>
      <c r="E124" s="45">
        <v>-173030.38509059243</v>
      </c>
      <c r="F124" s="44">
        <v>-146216.63297879463</v>
      </c>
      <c r="G124" s="44">
        <v>-140805.98705264073</v>
      </c>
      <c r="H124" s="44">
        <v>-146024.08599357147</v>
      </c>
    </row>
    <row r="125" spans="1:8" ht="15">
      <c r="A125" s="43" t="str">
        <f>HLOOKUP(INDICE!$F$2,Nombres!$C$3:$D$636,42,FALSE)</f>
        <v>  Depreciation</v>
      </c>
      <c r="B125" s="44">
        <v>-14571.929824561405</v>
      </c>
      <c r="C125" s="44">
        <v>-17028.0701754386</v>
      </c>
      <c r="D125" s="44">
        <v>-18155.172413793105</v>
      </c>
      <c r="E125" s="45">
        <v>-19509.63594857624</v>
      </c>
      <c r="F125" s="44">
        <v>-26521.36874081007</v>
      </c>
      <c r="G125" s="44">
        <v>-26659.75263185551</v>
      </c>
      <c r="H125" s="44">
        <v>-29307.478447337195</v>
      </c>
    </row>
    <row r="126" spans="1:8" ht="15">
      <c r="A126" s="41" t="str">
        <f>HLOOKUP(INDICE!$F$2,Nombres!$C$3:$D$636,43,FALSE)</f>
        <v>Operating income</v>
      </c>
      <c r="B126" s="41">
        <f>+B120+B121</f>
        <v>559072.16677193</v>
      </c>
      <c r="C126" s="41">
        <f aca="true" t="shared" si="20" ref="C126:H126">+C120+C121</f>
        <v>545789.4949177251</v>
      </c>
      <c r="D126" s="41">
        <f t="shared" si="20"/>
        <v>532918.540793103</v>
      </c>
      <c r="E126" s="42">
        <f t="shared" si="20"/>
        <v>584859.7142071372</v>
      </c>
      <c r="F126" s="52">
        <f t="shared" si="20"/>
        <v>602597.4092266004</v>
      </c>
      <c r="G126" s="52">
        <f t="shared" si="20"/>
        <v>589327.5638646639</v>
      </c>
      <c r="H126" s="52">
        <f t="shared" si="20"/>
        <v>566052.0974000703</v>
      </c>
    </row>
    <row r="127" spans="1:8" ht="15">
      <c r="A127" s="43" t="str">
        <f>HLOOKUP(INDICE!$F$2,Nombres!$C$3:$D$636,44,FALSE)</f>
        <v>Impaiment on financial assets not measured at fair value through profit or loss</v>
      </c>
      <c r="B127" s="44">
        <v>-193126.31578947356</v>
      </c>
      <c r="C127" s="44">
        <v>-234142.64972776768</v>
      </c>
      <c r="D127" s="44">
        <v>-220555.17241379313</v>
      </c>
      <c r="E127" s="45">
        <v>-319304.78192959266</v>
      </c>
      <c r="F127" s="44">
        <v>-258721.3475108943</v>
      </c>
      <c r="G127" s="44">
        <v>-169976.920461431</v>
      </c>
      <c r="H127" s="44">
        <v>-149737.38785160615</v>
      </c>
    </row>
    <row r="128" spans="1:8" ht="15">
      <c r="A128" s="43" t="str">
        <f>HLOOKUP(INDICE!$F$2,Nombres!$C$3:$D$636,45,FALSE)</f>
        <v>Provisions or reversal of provisions and other results</v>
      </c>
      <c r="B128" s="44">
        <v>-9866.666666666668</v>
      </c>
      <c r="C128" s="44">
        <v>-34912.64367816092</v>
      </c>
      <c r="D128" s="44">
        <v>5758.620689655174</v>
      </c>
      <c r="E128" s="45">
        <v>-4881.749369217832</v>
      </c>
      <c r="F128" s="44">
        <v>-4651.12227413696</v>
      </c>
      <c r="G128" s="44">
        <v>-22982.31144866449</v>
      </c>
      <c r="H128" s="44">
        <v>-10975.773252604022</v>
      </c>
    </row>
    <row r="129" spans="1:8" ht="15">
      <c r="A129" s="41" t="str">
        <f>HLOOKUP(INDICE!$F$2,Nombres!$C$3:$D$636,46,FALSE)</f>
        <v>Profit/(loss) before tax</v>
      </c>
      <c r="B129" s="41">
        <f>+B126+B127+B128</f>
        <v>356079.18431578967</v>
      </c>
      <c r="C129" s="41">
        <f aca="true" t="shared" si="21" ref="C129:H129">+C126+C127+C128</f>
        <v>276734.2015117965</v>
      </c>
      <c r="D129" s="41">
        <f t="shared" si="21"/>
        <v>318121.9890689651</v>
      </c>
      <c r="E129" s="42">
        <f t="shared" si="21"/>
        <v>260673.18290832674</v>
      </c>
      <c r="F129" s="52">
        <f t="shared" si="21"/>
        <v>339224.93944156915</v>
      </c>
      <c r="G129" s="52">
        <f t="shared" si="21"/>
        <v>396368.3319545684</v>
      </c>
      <c r="H129" s="52">
        <f t="shared" si="21"/>
        <v>405338.93629586016</v>
      </c>
    </row>
    <row r="130" spans="1:8" ht="15">
      <c r="A130" s="43" t="str">
        <f>HLOOKUP(INDICE!$F$2,Nombres!$C$3:$D$636,47,FALSE)</f>
        <v>Income tax</v>
      </c>
      <c r="B130" s="44">
        <v>-128132.10336842107</v>
      </c>
      <c r="C130" s="44">
        <v>-73201.95576950998</v>
      </c>
      <c r="D130" s="44">
        <v>-115924.84982758618</v>
      </c>
      <c r="E130" s="45">
        <v>-82759.8823933678</v>
      </c>
      <c r="F130" s="44">
        <v>-122778.10781989485</v>
      </c>
      <c r="G130" s="44">
        <v>-124542.52735685962</v>
      </c>
      <c r="H130" s="44">
        <v>-143140.25793674967</v>
      </c>
    </row>
    <row r="131" spans="1:8" ht="15">
      <c r="A131" s="41" t="str">
        <f>HLOOKUP(INDICE!$F$2,Nombres!$C$3:$D$636,48,FALSE)</f>
        <v>Profit/(loss) for the year</v>
      </c>
      <c r="B131" s="41">
        <f>+B129+B130</f>
        <v>227947.08094736858</v>
      </c>
      <c r="C131" s="41">
        <f aca="true" t="shared" si="22" ref="C131:H131">+C129+C130</f>
        <v>203532.24574228653</v>
      </c>
      <c r="D131" s="41">
        <f t="shared" si="22"/>
        <v>202197.1392413789</v>
      </c>
      <c r="E131" s="42">
        <f t="shared" si="22"/>
        <v>177913.30051495892</v>
      </c>
      <c r="F131" s="52">
        <f t="shared" si="22"/>
        <v>216446.8316216743</v>
      </c>
      <c r="G131" s="52">
        <f t="shared" si="22"/>
        <v>271825.80459770875</v>
      </c>
      <c r="H131" s="52">
        <f t="shared" si="22"/>
        <v>262198.6783591105</v>
      </c>
    </row>
    <row r="132" spans="1:8" ht="15">
      <c r="A132" s="43" t="str">
        <f>HLOOKUP(INDICE!$F$2,Nombres!$C$3:$D$636,49,FALSE)</f>
        <v>Non-controlling interests</v>
      </c>
      <c r="B132" s="44">
        <v>-8892.438421052631</v>
      </c>
      <c r="C132" s="44">
        <v>-7298.154854809438</v>
      </c>
      <c r="D132" s="44">
        <v>-8124.826655172414</v>
      </c>
      <c r="E132" s="45">
        <v>-6153.666061996875</v>
      </c>
      <c r="F132" s="44">
        <v>-8322.582082567847</v>
      </c>
      <c r="G132" s="44">
        <v>-10359.691279354278</v>
      </c>
      <c r="H132" s="44">
        <v>-10018.901559776123</v>
      </c>
    </row>
    <row r="133" spans="1:8" ht="15">
      <c r="A133" s="47" t="str">
        <f>HLOOKUP(INDICE!$F$2,Nombres!$C$3:$D$636,50,FALSE)</f>
        <v>Net attributable profit</v>
      </c>
      <c r="B133" s="47">
        <f>+B131+B132</f>
        <v>219054.64252631596</v>
      </c>
      <c r="C133" s="47">
        <f aca="true" t="shared" si="23" ref="C133:H133">+C131+C132</f>
        <v>196234.0908874771</v>
      </c>
      <c r="D133" s="47">
        <f t="shared" si="23"/>
        <v>194072.31258620648</v>
      </c>
      <c r="E133" s="47">
        <f t="shared" si="23"/>
        <v>171759.63445296203</v>
      </c>
      <c r="F133" s="53">
        <f t="shared" si="23"/>
        <v>208124.24953910644</v>
      </c>
      <c r="G133" s="53">
        <f t="shared" si="23"/>
        <v>261466.11331835447</v>
      </c>
      <c r="H133" s="53">
        <f t="shared" si="23"/>
        <v>252179.77679933436</v>
      </c>
    </row>
    <row r="134" spans="1:8" ht="15">
      <c r="A134" s="65"/>
      <c r="B134" s="66">
        <v>0</v>
      </c>
      <c r="C134" s="66">
        <v>0</v>
      </c>
      <c r="D134" s="66">
        <v>0</v>
      </c>
      <c r="E134" s="66">
        <v>0</v>
      </c>
      <c r="F134" s="66">
        <v>0</v>
      </c>
      <c r="G134" s="66">
        <v>0</v>
      </c>
      <c r="H134" s="66">
        <v>0</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HLOOKUP(INDICE!$F$2,Nombres!$C$3:$D$636,75,FALSE)</f>
        <v>(Million Colombian pesos)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4164643.8356164386</v>
      </c>
      <c r="C139" s="44">
        <v>4320298.969072165</v>
      </c>
      <c r="D139" s="44">
        <v>2993463.667820069</v>
      </c>
      <c r="E139" s="45">
        <v>7945007.490636705</v>
      </c>
      <c r="F139" s="44">
        <v>6594621.198551635</v>
      </c>
      <c r="G139" s="44">
        <v>5617363.080117747</v>
      </c>
      <c r="H139" s="44">
        <v>4691569.951635196</v>
      </c>
    </row>
    <row r="140" spans="1:8" ht="15">
      <c r="A140" s="43" t="str">
        <f>HLOOKUP(INDICE!$F$2,Nombres!$C$3:$D$636,53,FALSE)</f>
        <v>Financial assets designated at fair value </v>
      </c>
      <c r="B140" s="60">
        <v>8012013.698630137</v>
      </c>
      <c r="C140" s="60">
        <v>8276924.398625428</v>
      </c>
      <c r="D140" s="60">
        <v>9946190.311418686</v>
      </c>
      <c r="E140" s="68">
        <v>9051951.310861424</v>
      </c>
      <c r="F140" s="44">
        <v>10717352.430950997</v>
      </c>
      <c r="G140" s="44">
        <v>11039512.523682656</v>
      </c>
      <c r="H140" s="44">
        <v>10871729.07265457</v>
      </c>
    </row>
    <row r="141" spans="1:8" ht="15">
      <c r="A141" s="43" t="str">
        <f>HLOOKUP(INDICE!$F$2,Nombres!$C$3:$D$636,54,FALSE)</f>
        <v>Financial assets at amortized cost</v>
      </c>
      <c r="B141" s="44">
        <v>43948493.15068493</v>
      </c>
      <c r="C141" s="44">
        <v>44796975.94501717</v>
      </c>
      <c r="D141" s="44">
        <v>44749650.51903115</v>
      </c>
      <c r="E141" s="45">
        <v>45377955.05617978</v>
      </c>
      <c r="F141" s="44">
        <v>45926690.61357983</v>
      </c>
      <c r="G141" s="44">
        <v>46830897.46515895</v>
      </c>
      <c r="H141" s="44">
        <v>48478986.929711044</v>
      </c>
    </row>
    <row r="142" spans="1:8" ht="15">
      <c r="A142" s="43" t="str">
        <f>HLOOKUP(INDICE!$F$2,Nombres!$C$3:$D$636,55,FALSE)</f>
        <v>    of which loans and advances to customers</v>
      </c>
      <c r="B142" s="44">
        <v>42278089.0410959</v>
      </c>
      <c r="C142" s="44">
        <v>43101993.127147764</v>
      </c>
      <c r="D142" s="44">
        <v>43066048.44290658</v>
      </c>
      <c r="E142" s="45">
        <v>43480239.70037453</v>
      </c>
      <c r="F142" s="44">
        <v>43971255.2005257</v>
      </c>
      <c r="G142" s="44">
        <v>44851512.76451151</v>
      </c>
      <c r="H142" s="44">
        <v>46442972.53698233</v>
      </c>
    </row>
    <row r="143" spans="1:8" ht="15">
      <c r="A143" s="43" t="str">
        <f>HLOOKUP(INDICE!$F$2,Nombres!$C$3:$D$636,56,FALSE)</f>
        <v>Tangible assets</v>
      </c>
      <c r="B143" s="44">
        <v>313804.7945205479</v>
      </c>
      <c r="C143" s="44">
        <v>310670.10309278365</v>
      </c>
      <c r="D143" s="44">
        <v>311100.3460207614</v>
      </c>
      <c r="E143" s="45">
        <v>345850.18726591766</v>
      </c>
      <c r="F143" s="44">
        <v>536186.5091734398</v>
      </c>
      <c r="G143" s="44">
        <v>542674.4803059556</v>
      </c>
      <c r="H143" s="44">
        <v>544530.0302396887</v>
      </c>
    </row>
    <row r="144" spans="1:8" ht="15">
      <c r="A144" s="43" t="str">
        <f>HLOOKUP(INDICE!$F$2,Nombres!$C$3:$D$636,57,FALSE)</f>
        <v>Other assets</v>
      </c>
      <c r="B144" s="60">
        <f>+B145-B143-B141-B140-B139</f>
        <v>1418164.3835616438</v>
      </c>
      <c r="C144" s="60">
        <f aca="true" t="shared" si="25" ref="C144:H144">+C145-C143-C141-C140-C139</f>
        <v>1416639.1752577238</v>
      </c>
      <c r="D144" s="60">
        <f t="shared" si="25"/>
        <v>1515391.0034602145</v>
      </c>
      <c r="E144" s="68">
        <f t="shared" si="25"/>
        <v>1158460.6741573</v>
      </c>
      <c r="F144" s="44">
        <f t="shared" si="25"/>
        <v>1292048.7706125593</v>
      </c>
      <c r="G144" s="44">
        <f t="shared" si="25"/>
        <v>1407435.269940814</v>
      </c>
      <c r="H144" s="44">
        <f t="shared" si="25"/>
        <v>1766633.261365681</v>
      </c>
    </row>
    <row r="145" spans="1:8" ht="15">
      <c r="A145" s="47" t="str">
        <f>HLOOKUP(INDICE!$F$2,Nombres!$C$3:$D$636,58,FALSE)</f>
        <v>Total assets / Liabilities and equity</v>
      </c>
      <c r="B145" s="47">
        <v>57857119.8630137</v>
      </c>
      <c r="C145" s="47">
        <v>59121508.591065265</v>
      </c>
      <c r="D145" s="47">
        <v>59515795.84775088</v>
      </c>
      <c r="E145" s="47">
        <v>63879224.71910112</v>
      </c>
      <c r="F145" s="53">
        <v>65066899.52286846</v>
      </c>
      <c r="G145" s="53">
        <v>65437882.81920612</v>
      </c>
      <c r="H145" s="53">
        <v>66353449.24560618</v>
      </c>
    </row>
    <row r="146" spans="1:8" ht="15">
      <c r="A146" s="43" t="str">
        <f>HLOOKUP(INDICE!$F$2,Nombres!$C$3:$D$636,59,FALSE)</f>
        <v>Financial liabilities held for trading and designated at fair value through profit or loss</v>
      </c>
      <c r="B146" s="60">
        <v>1305958.904109589</v>
      </c>
      <c r="C146" s="60">
        <v>1167189.0034364262</v>
      </c>
      <c r="D146" s="60">
        <v>1145269.8961937716</v>
      </c>
      <c r="E146" s="68">
        <v>4559239.700374532</v>
      </c>
      <c r="F146" s="44">
        <v>7758437.349822348</v>
      </c>
      <c r="G146" s="44">
        <v>6329472.7947441</v>
      </c>
      <c r="H146" s="44">
        <v>5392003.114745248</v>
      </c>
    </row>
    <row r="147" spans="1:8" ht="15">
      <c r="A147" s="43" t="str">
        <f>HLOOKUP(INDICE!$F$2,Nombres!$C$3:$D$636,60,FALSE)</f>
        <v>Deposits from central banks and credit institutions</v>
      </c>
      <c r="B147" s="60">
        <v>1561924.6575342466</v>
      </c>
      <c r="C147" s="60">
        <v>1165298.969072165</v>
      </c>
      <c r="D147" s="60">
        <v>1147816.6089965398</v>
      </c>
      <c r="E147" s="68">
        <v>1329513.1086142324</v>
      </c>
      <c r="F147" s="44">
        <v>899467.4512117258</v>
      </c>
      <c r="G147" s="44">
        <v>1145772.6622172815</v>
      </c>
      <c r="H147" s="44">
        <v>1640892.1597869138</v>
      </c>
    </row>
    <row r="148" spans="1:8" ht="15">
      <c r="A148" s="43" t="str">
        <f>HLOOKUP(INDICE!$F$2,Nombres!$C$3:$D$636,61,FALSE)</f>
        <v>Deposits from customers</v>
      </c>
      <c r="B148" s="60">
        <v>44696010.2739726</v>
      </c>
      <c r="C148" s="60">
        <v>46280563.57388316</v>
      </c>
      <c r="D148" s="60">
        <v>46455851.21107267</v>
      </c>
      <c r="E148" s="68">
        <v>46376790.26217229</v>
      </c>
      <c r="F148" s="44">
        <v>45461605.827669755</v>
      </c>
      <c r="G148" s="44">
        <v>46266708.843552865</v>
      </c>
      <c r="H148" s="44">
        <v>47329263.52620648</v>
      </c>
    </row>
    <row r="149" spans="1:8" ht="15">
      <c r="A149" s="43" t="str">
        <f>HLOOKUP(INDICE!$F$2,Nombres!$C$3:$D$636,62,FALSE)</f>
        <v>Debt certificates</v>
      </c>
      <c r="B149" s="44">
        <v>2096441.780821918</v>
      </c>
      <c r="C149" s="44">
        <v>2185824.7422680412</v>
      </c>
      <c r="D149" s="44">
        <v>2109470.5882352944</v>
      </c>
      <c r="E149" s="45">
        <v>2227430.711610487</v>
      </c>
      <c r="F149" s="44">
        <v>2229890.287563755</v>
      </c>
      <c r="G149" s="44">
        <v>2252755.8330866466</v>
      </c>
      <c r="H149" s="44">
        <v>2239348.931387241</v>
      </c>
    </row>
    <row r="150" spans="1:8" ht="15">
      <c r="A150" s="43" t="str">
        <f>HLOOKUP(INDICE!$F$2,Nombres!$C$3:$D$636,63,FALSE)</f>
        <v>Other liabilities</v>
      </c>
      <c r="B150" s="60">
        <f>+B145-B146-B147-B148-B149-B151</f>
        <v>4830962.808219178</v>
      </c>
      <c r="C150" s="60">
        <f aca="true" t="shared" si="26" ref="C150:H150">+C145-C146-C147-C148-C149-C151</f>
        <v>4786097.182130564</v>
      </c>
      <c r="D150" s="60">
        <f t="shared" si="26"/>
        <v>5059775.8062283825</v>
      </c>
      <c r="E150" s="68">
        <f t="shared" si="26"/>
        <v>5547291.247565545</v>
      </c>
      <c r="F150" s="44">
        <f t="shared" si="26"/>
        <v>5035658.573590286</v>
      </c>
      <c r="G150" s="44">
        <f t="shared" si="26"/>
        <v>5840706.829526495</v>
      </c>
      <c r="H150" s="44">
        <f t="shared" si="26"/>
        <v>5956647.810050298</v>
      </c>
    </row>
    <row r="151" spans="1:8" ht="15">
      <c r="A151" s="43" t="str">
        <f>HLOOKUP(INDICE!$F$2,Nombres!$C$3:$D$636,64,FALSE)</f>
        <v>Economic capital allocated</v>
      </c>
      <c r="B151" s="44">
        <v>3365821.438356165</v>
      </c>
      <c r="C151" s="44">
        <v>3536535.1202749126</v>
      </c>
      <c r="D151" s="44">
        <v>3597611.737024221</v>
      </c>
      <c r="E151" s="45">
        <v>3838959.688764045</v>
      </c>
      <c r="F151" s="44">
        <v>3681840.0330105876</v>
      </c>
      <c r="G151" s="44">
        <v>3602465.856078726</v>
      </c>
      <c r="H151" s="44">
        <v>3795293.7034299886</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HLOOKUP(INDICE!$F$2,Nombres!$C$3:$D$636,74,FALSE)</f>
        <v>(Million Mexican pesos)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44533565.34715754</v>
      </c>
      <c r="C157" s="44">
        <v>45490768.36848797</v>
      </c>
      <c r="D157" s="44">
        <v>45642192.20401385</v>
      </c>
      <c r="E157" s="45">
        <v>46267252.96310861</v>
      </c>
      <c r="F157" s="44">
        <v>46513407.39125303</v>
      </c>
      <c r="G157" s="44">
        <v>47315124.19088198</v>
      </c>
      <c r="H157" s="44">
        <v>48790700.3708109</v>
      </c>
    </row>
    <row r="158" spans="1:8" ht="15.75" customHeight="1">
      <c r="A158" s="43" t="str">
        <f>HLOOKUP(INDICE!$F$2,Nombres!$C$3:$D$636,67,FALSE)</f>
        <v>Customer deposits under management (*)</v>
      </c>
      <c r="B158" s="44">
        <v>44655739.60178082</v>
      </c>
      <c r="C158" s="44">
        <v>45696715.3494158</v>
      </c>
      <c r="D158" s="44">
        <v>46530852.94387544</v>
      </c>
      <c r="E158" s="45">
        <v>46979151.95681649</v>
      </c>
      <c r="F158" s="44">
        <v>45883736.31715308</v>
      </c>
      <c r="G158" s="44">
        <v>46304622.63882934</v>
      </c>
      <c r="H158" s="44">
        <v>47364718.16735181</v>
      </c>
    </row>
    <row r="159" spans="1:8" ht="15.75" customHeight="1">
      <c r="A159" s="43" t="str">
        <f>HLOOKUP(INDICE!$F$2,Nombres!$C$3:$D$636,68,FALSE)</f>
        <v>Mutual funds</v>
      </c>
      <c r="B159" s="44">
        <v>4306380.715239726</v>
      </c>
      <c r="C159" s="44">
        <v>4374044.784948453</v>
      </c>
      <c r="D159" s="44">
        <v>4862385.928373703</v>
      </c>
      <c r="E159" s="45">
        <v>4819345.749775281</v>
      </c>
      <c r="F159" s="44">
        <v>5195507.447922541</v>
      </c>
      <c r="G159" s="44">
        <v>5205700.76816364</v>
      </c>
      <c r="H159" s="44">
        <v>5551786.73532597</v>
      </c>
    </row>
    <row r="160" spans="1:8" ht="15.75" customHeight="1">
      <c r="A160" s="43" t="str">
        <f>HLOOKUP(INDICE!$F$2,Nombres!$C$3:$D$636,69,FALSE)</f>
        <v>Pension funds</v>
      </c>
      <c r="B160" s="44" t="s">
        <v>407</v>
      </c>
      <c r="C160" s="44" t="s">
        <v>407</v>
      </c>
      <c r="D160" s="44" t="s">
        <v>407</v>
      </c>
      <c r="E160" s="45" t="s">
        <v>407</v>
      </c>
      <c r="F160" s="44" t="s">
        <v>407</v>
      </c>
      <c r="G160" s="44" t="s">
        <v>407</v>
      </c>
      <c r="H160" s="44" t="s">
        <v>407</v>
      </c>
    </row>
    <row r="161" spans="1:8" ht="15">
      <c r="A161" s="43" t="str">
        <f>HLOOKUP(INDICE!$F$2,Nombres!$C$3:$D$636,70,FALSE)</f>
        <v>Other off balance-sheet funds</v>
      </c>
      <c r="B161" s="44" t="s">
        <v>407</v>
      </c>
      <c r="C161" s="44" t="s">
        <v>407</v>
      </c>
      <c r="D161" s="44" t="s">
        <v>407</v>
      </c>
      <c r="E161" s="45" t="s">
        <v>407</v>
      </c>
      <c r="F161" s="44" t="s">
        <v>407</v>
      </c>
      <c r="G161" s="44" t="s">
        <v>407</v>
      </c>
      <c r="H161" s="44" t="s">
        <v>407</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HLOOKUP(INDICE!$F$2,Nombres!$C$3:$D$636,17,FALSE)</f>
        <v>Peru</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180.46999999999997</v>
      </c>
      <c r="C8" s="41">
        <v>195.467</v>
      </c>
      <c r="D8" s="41">
        <v>209.88</v>
      </c>
      <c r="E8" s="42">
        <v>219.97500000000005</v>
      </c>
      <c r="F8" s="52">
        <v>218.83299999999997</v>
      </c>
      <c r="G8" s="52">
        <v>229.08200000000002</v>
      </c>
      <c r="H8" s="52">
        <v>233.16599999999997</v>
      </c>
    </row>
    <row r="9" spans="1:8" ht="15">
      <c r="A9" s="43" t="str">
        <f>HLOOKUP(INDICE!$F$2,Nombres!$C$3:$D$636,34,FALSE)</f>
        <v>Net fees and commissions</v>
      </c>
      <c r="B9" s="44">
        <v>48.609556</v>
      </c>
      <c r="C9" s="44">
        <v>56.107529080000006</v>
      </c>
      <c r="D9" s="44">
        <v>53.329565190000004</v>
      </c>
      <c r="E9" s="45">
        <v>60.71410476000001</v>
      </c>
      <c r="F9" s="44">
        <v>54.212464</v>
      </c>
      <c r="G9" s="44">
        <v>59.723424230000006</v>
      </c>
      <c r="H9" s="44">
        <v>60.343765149999996</v>
      </c>
    </row>
    <row r="10" spans="1:8" ht="15">
      <c r="A10" s="43" t="str">
        <f>HLOOKUP(INDICE!$F$2,Nombres!$C$3:$D$636,35,FALSE)</f>
        <v>Net trading income</v>
      </c>
      <c r="B10" s="44">
        <v>34.7664038</v>
      </c>
      <c r="C10" s="44">
        <v>35.93113598</v>
      </c>
      <c r="D10" s="44">
        <v>30.952788899999994</v>
      </c>
      <c r="E10" s="45">
        <v>36.40031363</v>
      </c>
      <c r="F10" s="44">
        <v>39.00941698</v>
      </c>
      <c r="G10" s="44">
        <v>43.514136579999985</v>
      </c>
      <c r="H10" s="44">
        <v>44.34252119000001</v>
      </c>
    </row>
    <row r="11" spans="1:8" ht="15">
      <c r="A11" s="43" t="str">
        <f>HLOOKUP(INDICE!$F$2,Nombres!$C$3:$D$636,36,FALSE)</f>
        <v>Other operating income and expenses</v>
      </c>
      <c r="B11" s="44">
        <v>-2.9189999999999996</v>
      </c>
      <c r="C11" s="44">
        <v>-5.159</v>
      </c>
      <c r="D11" s="44">
        <v>-3.8139999999999996</v>
      </c>
      <c r="E11" s="45">
        <v>-10.850000000000001</v>
      </c>
      <c r="F11" s="44">
        <v>-6.357000000000001</v>
      </c>
      <c r="G11" s="44">
        <v>-4.744999999999998</v>
      </c>
      <c r="H11" s="44">
        <v>-5.767</v>
      </c>
    </row>
    <row r="12" spans="1:8" ht="15">
      <c r="A12" s="41" t="str">
        <f>HLOOKUP(INDICE!$F$2,Nombres!$C$3:$D$636,37,FALSE)</f>
        <v>Gross income</v>
      </c>
      <c r="B12" s="41">
        <f>+SUM(B8:B11)</f>
        <v>260.92695979999996</v>
      </c>
      <c r="C12" s="41">
        <f aca="true" t="shared" si="0" ref="C12:H12">+SUM(C8:C11)</f>
        <v>282.34666506</v>
      </c>
      <c r="D12" s="41">
        <f t="shared" si="0"/>
        <v>290.34835408999993</v>
      </c>
      <c r="E12" s="42">
        <f t="shared" si="0"/>
        <v>306.2394183900001</v>
      </c>
      <c r="F12" s="52">
        <f t="shared" si="0"/>
        <v>305.69788098</v>
      </c>
      <c r="G12" s="52">
        <f t="shared" si="0"/>
        <v>327.57456081</v>
      </c>
      <c r="H12" s="52">
        <f t="shared" si="0"/>
        <v>332.08528634</v>
      </c>
    </row>
    <row r="13" spans="1:8" ht="15">
      <c r="A13" s="43" t="str">
        <f>HLOOKUP(INDICE!$F$2,Nombres!$C$3:$D$636,38,FALSE)</f>
        <v>Operating expenses</v>
      </c>
      <c r="B13" s="44">
        <v>-98.47694619</v>
      </c>
      <c r="C13" s="44">
        <v>-100.75494688999999</v>
      </c>
      <c r="D13" s="44">
        <v>-103.52100152999998</v>
      </c>
      <c r="E13" s="45">
        <v>-107.56030057999999</v>
      </c>
      <c r="F13" s="44">
        <v>-112.10374906999999</v>
      </c>
      <c r="G13" s="44">
        <v>-111.82075</v>
      </c>
      <c r="H13" s="44">
        <v>-116.94703100000001</v>
      </c>
    </row>
    <row r="14" spans="1:8" ht="15">
      <c r="A14" s="43" t="str">
        <f>HLOOKUP(INDICE!$F$2,Nombres!$C$3:$D$636,39,FALSE)</f>
        <v>  Administration expenses</v>
      </c>
      <c r="B14" s="44">
        <v>-89.35794619</v>
      </c>
      <c r="C14" s="44">
        <v>-90.98494689</v>
      </c>
      <c r="D14" s="44">
        <v>-93.26400152999999</v>
      </c>
      <c r="E14" s="45">
        <v>-97.95130058</v>
      </c>
      <c r="F14" s="44">
        <v>-95.06574907</v>
      </c>
      <c r="G14" s="44">
        <v>-95.47075</v>
      </c>
      <c r="H14" s="44">
        <v>-100.37403100000002</v>
      </c>
    </row>
    <row r="15" spans="1:8" ht="15">
      <c r="A15" s="46" t="str">
        <f>HLOOKUP(INDICE!$F$2,Nombres!$C$3:$D$636,40,FALSE)</f>
        <v>  Personnel expenses</v>
      </c>
      <c r="B15" s="44">
        <v>-48.15899999999999</v>
      </c>
      <c r="C15" s="44">
        <v>-48.892999999999994</v>
      </c>
      <c r="D15" s="44">
        <v>-50.33705467</v>
      </c>
      <c r="E15" s="45">
        <v>-54.58699999999999</v>
      </c>
      <c r="F15" s="44">
        <v>-54.10799999999999</v>
      </c>
      <c r="G15" s="44">
        <v>-53.448</v>
      </c>
      <c r="H15" s="44">
        <v>-56.649</v>
      </c>
    </row>
    <row r="16" spans="1:8" ht="15">
      <c r="A16" s="46" t="str">
        <f>HLOOKUP(INDICE!$F$2,Nombres!$C$3:$D$636,41,FALSE)</f>
        <v>  General and administrative expenses</v>
      </c>
      <c r="B16" s="44">
        <v>-41.19894619</v>
      </c>
      <c r="C16" s="44">
        <v>-42.09194689</v>
      </c>
      <c r="D16" s="44">
        <v>-42.92694685999998</v>
      </c>
      <c r="E16" s="45">
        <v>-43.36430058</v>
      </c>
      <c r="F16" s="44">
        <v>-40.957749070000006</v>
      </c>
      <c r="G16" s="44">
        <v>-42.02275</v>
      </c>
      <c r="H16" s="44">
        <v>-43.725031000000016</v>
      </c>
    </row>
    <row r="17" spans="1:8" ht="15">
      <c r="A17" s="43" t="str">
        <f>HLOOKUP(INDICE!$F$2,Nombres!$C$3:$D$636,42,FALSE)</f>
        <v>  Depreciation</v>
      </c>
      <c r="B17" s="44">
        <v>-9.119</v>
      </c>
      <c r="C17" s="44">
        <v>-9.770000000000001</v>
      </c>
      <c r="D17" s="44">
        <v>-10.256999999999998</v>
      </c>
      <c r="E17" s="45">
        <v>-9.609</v>
      </c>
      <c r="F17" s="44">
        <v>-17.038</v>
      </c>
      <c r="G17" s="44">
        <v>-16.349999999999998</v>
      </c>
      <c r="H17" s="44">
        <v>-16.573</v>
      </c>
    </row>
    <row r="18" spans="1:8" ht="15">
      <c r="A18" s="41" t="str">
        <f>HLOOKUP(INDICE!$F$2,Nombres!$C$3:$D$636,43,FALSE)</f>
        <v>Operating income</v>
      </c>
      <c r="B18" s="41">
        <f>+B12+B13</f>
        <v>162.45001360999996</v>
      </c>
      <c r="C18" s="41">
        <f aca="true" t="shared" si="1" ref="C18:H18">+C12+C13</f>
        <v>181.59171817000004</v>
      </c>
      <c r="D18" s="41">
        <f t="shared" si="1"/>
        <v>186.82735255999995</v>
      </c>
      <c r="E18" s="42">
        <f t="shared" si="1"/>
        <v>198.6791178100001</v>
      </c>
      <c r="F18" s="52">
        <f t="shared" si="1"/>
        <v>193.59413191</v>
      </c>
      <c r="G18" s="52">
        <f t="shared" si="1"/>
        <v>215.75381080999998</v>
      </c>
      <c r="H18" s="52">
        <f t="shared" si="1"/>
        <v>215.13825533999997</v>
      </c>
    </row>
    <row r="19" spans="1:8" ht="15">
      <c r="A19" s="43" t="str">
        <f>HLOOKUP(INDICE!$F$2,Nombres!$C$3:$D$636,44,FALSE)</f>
        <v>Impaiment on financial assets not measured at fair value through profit or loss</v>
      </c>
      <c r="B19" s="44">
        <v>-51.772000009999985</v>
      </c>
      <c r="C19" s="44">
        <v>-33.05399994999999</v>
      </c>
      <c r="D19" s="44">
        <v>-55.41700002999998</v>
      </c>
      <c r="E19" s="45">
        <v>6.5529999499999825</v>
      </c>
      <c r="F19" s="44">
        <v>-56.88899999999999</v>
      </c>
      <c r="G19" s="44">
        <v>-62.55699999999997</v>
      </c>
      <c r="H19" s="44">
        <v>-48.21899999999997</v>
      </c>
    </row>
    <row r="20" spans="1:8" ht="15">
      <c r="A20" s="43" t="str">
        <f>HLOOKUP(INDICE!$F$2,Nombres!$C$3:$D$636,45,FALSE)</f>
        <v>Provisions or reversal of provisions and other results</v>
      </c>
      <c r="B20" s="44">
        <v>-0.12799997000000074</v>
      </c>
      <c r="C20" s="44">
        <v>-2.617000019999998</v>
      </c>
      <c r="D20" s="44">
        <v>-1.3930000199999966</v>
      </c>
      <c r="E20" s="45">
        <v>-14.406999980000005</v>
      </c>
      <c r="F20" s="44">
        <v>-3.814000000000001</v>
      </c>
      <c r="G20" s="44">
        <v>11.482999999999997</v>
      </c>
      <c r="H20" s="44">
        <v>3.803000000000002</v>
      </c>
    </row>
    <row r="21" spans="1:8" ht="15">
      <c r="A21" s="41" t="str">
        <f>HLOOKUP(INDICE!$F$2,Nombres!$C$3:$D$636,46,FALSE)</f>
        <v>Profit/(loss) before tax</v>
      </c>
      <c r="B21" s="41">
        <f>+B18+B19+B20</f>
        <v>110.55001362999997</v>
      </c>
      <c r="C21" s="41">
        <f aca="true" t="shared" si="2" ref="C21:H21">+C18+C19+C20</f>
        <v>145.92071820000004</v>
      </c>
      <c r="D21" s="41">
        <f t="shared" si="2"/>
        <v>130.01735250999997</v>
      </c>
      <c r="E21" s="42">
        <f t="shared" si="2"/>
        <v>190.82511778000008</v>
      </c>
      <c r="F21" s="52">
        <f t="shared" si="2"/>
        <v>132.89113191</v>
      </c>
      <c r="G21" s="52">
        <f t="shared" si="2"/>
        <v>164.67981081000002</v>
      </c>
      <c r="H21" s="52">
        <f t="shared" si="2"/>
        <v>170.72225534</v>
      </c>
    </row>
    <row r="22" spans="1:8" ht="15">
      <c r="A22" s="43" t="str">
        <f>HLOOKUP(INDICE!$F$2,Nombres!$C$3:$D$636,47,FALSE)</f>
        <v>Income tax</v>
      </c>
      <c r="B22" s="44">
        <v>-32.75774802000001</v>
      </c>
      <c r="C22" s="44">
        <v>-41.82931102</v>
      </c>
      <c r="D22" s="44">
        <v>-37.819106250000004</v>
      </c>
      <c r="E22" s="45">
        <v>-48.77556627000001</v>
      </c>
      <c r="F22" s="44">
        <v>-38.98559594</v>
      </c>
      <c r="G22" s="44">
        <v>-46.88877915</v>
      </c>
      <c r="H22" s="44">
        <v>-49.31047921</v>
      </c>
    </row>
    <row r="23" spans="1:8" ht="15">
      <c r="A23" s="41" t="str">
        <f>HLOOKUP(INDICE!$F$2,Nombres!$C$3:$D$636,48,FALSE)</f>
        <v>Profit/(loss) for the year</v>
      </c>
      <c r="B23" s="41">
        <f>+B21+B22</f>
        <v>77.79226560999996</v>
      </c>
      <c r="C23" s="41">
        <f aca="true" t="shared" si="3" ref="C23:H23">+C21+C22</f>
        <v>104.09140718000003</v>
      </c>
      <c r="D23" s="41">
        <f t="shared" si="3"/>
        <v>92.19824625999996</v>
      </c>
      <c r="E23" s="42">
        <f t="shared" si="3"/>
        <v>142.04955151000007</v>
      </c>
      <c r="F23" s="52">
        <f t="shared" si="3"/>
        <v>93.90553597000002</v>
      </c>
      <c r="G23" s="52">
        <f t="shared" si="3"/>
        <v>117.79103166000002</v>
      </c>
      <c r="H23" s="52">
        <f t="shared" si="3"/>
        <v>121.41177613</v>
      </c>
    </row>
    <row r="24" spans="1:8" ht="15">
      <c r="A24" s="43" t="str">
        <f>HLOOKUP(INDICE!$F$2,Nombres!$C$3:$D$636,49,FALSE)</f>
        <v>Non-controlling interests</v>
      </c>
      <c r="B24" s="44">
        <v>-42.561408379999996</v>
      </c>
      <c r="C24" s="44">
        <v>-56.639250950000005</v>
      </c>
      <c r="D24" s="44">
        <v>-50.03899091000001</v>
      </c>
      <c r="E24" s="45">
        <v>-76.35853157999999</v>
      </c>
      <c r="F24" s="44">
        <v>-51.15578841999999</v>
      </c>
      <c r="G24" s="44">
        <v>-63.03337838000001</v>
      </c>
      <c r="H24" s="44">
        <v>-65.60818380999999</v>
      </c>
    </row>
    <row r="25" spans="1:8" ht="15">
      <c r="A25" s="47" t="str">
        <f>HLOOKUP(INDICE!$F$2,Nombres!$C$3:$D$636,50,FALSE)</f>
        <v>Net attributable profit</v>
      </c>
      <c r="B25" s="47">
        <f>+B23+B24</f>
        <v>35.23085722999996</v>
      </c>
      <c r="C25" s="47">
        <f aca="true" t="shared" si="4" ref="C25:H25">+C23+C24</f>
        <v>47.45215623000003</v>
      </c>
      <c r="D25" s="47">
        <f t="shared" si="4"/>
        <v>42.15925534999995</v>
      </c>
      <c r="E25" s="47">
        <f t="shared" si="4"/>
        <v>65.69101993000008</v>
      </c>
      <c r="F25" s="53">
        <f t="shared" si="4"/>
        <v>42.74974755000002</v>
      </c>
      <c r="G25" s="53">
        <f t="shared" si="4"/>
        <v>54.75765328000001</v>
      </c>
      <c r="H25" s="53">
        <f t="shared" si="4"/>
        <v>55.80359232000002</v>
      </c>
    </row>
    <row r="26" spans="1:8" ht="15">
      <c r="A26" s="65"/>
      <c r="B26" s="66">
        <v>-5.684341886080802E-14</v>
      </c>
      <c r="C26" s="66">
        <v>0</v>
      </c>
      <c r="D26" s="66">
        <v>0</v>
      </c>
      <c r="E26" s="66">
        <v>0</v>
      </c>
      <c r="F26" s="66">
        <v>0</v>
      </c>
      <c r="G26" s="66">
        <v>-5.684341886080802E-14</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2640.03</v>
      </c>
      <c r="C31" s="44">
        <v>2563.375</v>
      </c>
      <c r="D31" s="44">
        <v>2307.9759999999997</v>
      </c>
      <c r="E31" s="45">
        <v>3013.6090000000004</v>
      </c>
      <c r="F31" s="44">
        <v>3349.662</v>
      </c>
      <c r="G31" s="44">
        <v>2659.3909999999996</v>
      </c>
      <c r="H31" s="44">
        <v>2804.511</v>
      </c>
    </row>
    <row r="32" spans="1:8" ht="15">
      <c r="A32" s="43" t="str">
        <f>HLOOKUP(INDICE!$F$2,Nombres!$C$3:$D$636,53,FALSE)</f>
        <v>Financial assets designated at fair value </v>
      </c>
      <c r="B32" s="60">
        <v>2199.7390000000005</v>
      </c>
      <c r="C32" s="60">
        <v>1850.479</v>
      </c>
      <c r="D32" s="60">
        <v>2379.087</v>
      </c>
      <c r="E32" s="68">
        <v>1806.058</v>
      </c>
      <c r="F32" s="44">
        <v>2235.644</v>
      </c>
      <c r="G32" s="44">
        <v>1982.029</v>
      </c>
      <c r="H32" s="44">
        <v>2339.188</v>
      </c>
    </row>
    <row r="33" spans="1:8" ht="15">
      <c r="A33" s="43" t="str">
        <f>HLOOKUP(INDICE!$F$2,Nombres!$C$3:$D$636,54,FALSE)</f>
        <v>Financial assets at amortized cost</v>
      </c>
      <c r="B33" s="44">
        <v>13908.26899998</v>
      </c>
      <c r="C33" s="44">
        <v>14144.185000000001</v>
      </c>
      <c r="D33" s="44">
        <v>13954.524000000003</v>
      </c>
      <c r="E33" s="45">
        <v>13997.67</v>
      </c>
      <c r="F33" s="44">
        <v>15134.161999999998</v>
      </c>
      <c r="G33" s="44">
        <v>15548.823999999999</v>
      </c>
      <c r="H33" s="44">
        <v>16249.286</v>
      </c>
    </row>
    <row r="34" spans="1:8" ht="15">
      <c r="A34" s="43" t="str">
        <f>HLOOKUP(INDICE!$F$2,Nombres!$C$3:$D$636,55,FALSE)</f>
        <v>    of which loans and advances to customers</v>
      </c>
      <c r="B34" s="44">
        <v>12493.39299998</v>
      </c>
      <c r="C34" s="44">
        <v>13247.044000000002</v>
      </c>
      <c r="D34" s="44">
        <v>13457.550000000003</v>
      </c>
      <c r="E34" s="45">
        <v>13424.076999999997</v>
      </c>
      <c r="F34" s="44">
        <v>14344.951</v>
      </c>
      <c r="G34" s="44">
        <v>14559.295999999998</v>
      </c>
      <c r="H34" s="44">
        <v>15242.633</v>
      </c>
    </row>
    <row r="35" spans="1:8" ht="15">
      <c r="A35" s="43" t="str">
        <f>HLOOKUP(INDICE!$F$2,Nombres!$C$3:$D$636,56,FALSE)</f>
        <v>Tangible assets</v>
      </c>
      <c r="B35" s="44">
        <v>221.428</v>
      </c>
      <c r="C35" s="44">
        <v>227.10699999999997</v>
      </c>
      <c r="D35" s="44">
        <v>228.00900000000001</v>
      </c>
      <c r="E35" s="45">
        <v>239.38600000000002</v>
      </c>
      <c r="F35" s="44">
        <v>309.753</v>
      </c>
      <c r="G35" s="44">
        <v>307.71000000000004</v>
      </c>
      <c r="H35" s="44">
        <v>313.453</v>
      </c>
    </row>
    <row r="36" spans="1:8" ht="15">
      <c r="A36" s="43" t="str">
        <f>HLOOKUP(INDICE!$F$2,Nombres!$C$3:$D$636,57,FALSE)</f>
        <v>Other assets</v>
      </c>
      <c r="B36" s="60">
        <f>+B37-B35-B33-B32-B31</f>
        <v>290.2709999999911</v>
      </c>
      <c r="C36" s="60">
        <f aca="true" t="shared" si="5" ref="C36:H36">+C37-C35-C33-C32-C31</f>
        <v>281.3949999999959</v>
      </c>
      <c r="D36" s="60">
        <f t="shared" si="5"/>
        <v>302.13699999999926</v>
      </c>
      <c r="E36" s="68">
        <f t="shared" si="5"/>
        <v>333.56199999999353</v>
      </c>
      <c r="F36" s="44">
        <f t="shared" si="5"/>
        <v>393.6070000000027</v>
      </c>
      <c r="G36" s="44">
        <f t="shared" si="5"/>
        <v>361.7030000000018</v>
      </c>
      <c r="H36" s="44">
        <f t="shared" si="5"/>
        <v>387.4250000099969</v>
      </c>
    </row>
    <row r="37" spans="1:8" ht="15">
      <c r="A37" s="47" t="str">
        <f>HLOOKUP(INDICE!$F$2,Nombres!$C$3:$D$636,58,FALSE)</f>
        <v>Total assets / Liabilities and equity</v>
      </c>
      <c r="B37" s="47">
        <v>19259.736999979992</v>
      </c>
      <c r="C37" s="47">
        <v>19066.540999999997</v>
      </c>
      <c r="D37" s="47">
        <v>19171.733</v>
      </c>
      <c r="E37" s="47">
        <v>19390.284999999993</v>
      </c>
      <c r="F37" s="53">
        <v>21422.828</v>
      </c>
      <c r="G37" s="53">
        <v>20859.657</v>
      </c>
      <c r="H37" s="53">
        <v>22093.86300001</v>
      </c>
    </row>
    <row r="38" spans="1:8" ht="15">
      <c r="A38" s="43" t="str">
        <f>HLOOKUP(INDICE!$F$2,Nombres!$C$3:$D$636,59,FALSE)</f>
        <v>Financial liabilities held for trading and designated at fair value through profit or loss</v>
      </c>
      <c r="B38" s="60">
        <v>93.202</v>
      </c>
      <c r="C38" s="60">
        <v>89.53399999999999</v>
      </c>
      <c r="D38" s="60">
        <v>97.309</v>
      </c>
      <c r="E38" s="68">
        <v>93.04599999999999</v>
      </c>
      <c r="F38" s="44">
        <v>86.656</v>
      </c>
      <c r="G38" s="44">
        <v>108.926</v>
      </c>
      <c r="H38" s="44">
        <v>133.399</v>
      </c>
    </row>
    <row r="39" spans="1:8" ht="15">
      <c r="A39" s="43" t="str">
        <f>HLOOKUP(INDICE!$F$2,Nombres!$C$3:$D$636,60,FALSE)</f>
        <v>Deposits from central banks and credit institutions</v>
      </c>
      <c r="B39" s="60">
        <v>2686.7749999999996</v>
      </c>
      <c r="C39" s="60">
        <v>2769.522</v>
      </c>
      <c r="D39" s="60">
        <v>1822.9280000000003</v>
      </c>
      <c r="E39" s="68">
        <v>1868.614</v>
      </c>
      <c r="F39" s="44">
        <v>2086.153</v>
      </c>
      <c r="G39" s="44">
        <v>2235.683</v>
      </c>
      <c r="H39" s="44">
        <v>2425.084</v>
      </c>
    </row>
    <row r="40" spans="1:8" ht="15.75" customHeight="1">
      <c r="A40" s="43" t="str">
        <f>HLOOKUP(INDICE!$F$2,Nombres!$C$3:$D$636,61,FALSE)</f>
        <v>Deposits from customers</v>
      </c>
      <c r="B40" s="60">
        <v>12010.342000009998</v>
      </c>
      <c r="C40" s="60">
        <v>12065.185999999998</v>
      </c>
      <c r="D40" s="60">
        <v>13007.301</v>
      </c>
      <c r="E40" s="68">
        <v>12870.57499999</v>
      </c>
      <c r="F40" s="44">
        <v>14368.044</v>
      </c>
      <c r="G40" s="44">
        <v>13809.556</v>
      </c>
      <c r="H40" s="44">
        <v>14629.024000000001</v>
      </c>
    </row>
    <row r="41" spans="1:8" ht="15">
      <c r="A41" s="43" t="str">
        <f>HLOOKUP(INDICE!$F$2,Nombres!$C$3:$D$636,62,FALSE)</f>
        <v>Debt certificates</v>
      </c>
      <c r="B41" s="44">
        <v>1731.623</v>
      </c>
      <c r="C41" s="44">
        <v>1421.903</v>
      </c>
      <c r="D41" s="44">
        <v>1455.9979999999998</v>
      </c>
      <c r="E41" s="45">
        <v>1472.7729999999997</v>
      </c>
      <c r="F41" s="44">
        <v>1514.129</v>
      </c>
      <c r="G41" s="44">
        <v>1397.009</v>
      </c>
      <c r="H41" s="44">
        <v>1491.0040000000001</v>
      </c>
    </row>
    <row r="42" spans="1:8" ht="15">
      <c r="A42" s="43" t="str">
        <f>HLOOKUP(INDICE!$F$2,Nombres!$C$3:$D$636,63,FALSE)</f>
        <v>Other liabilities</v>
      </c>
      <c r="B42" s="60">
        <f>+B37-B38-B39-B40-B41-B43</f>
        <v>2170.3267599699952</v>
      </c>
      <c r="C42" s="60">
        <f aca="true" t="shared" si="6" ref="C42:H42">+C37-C38-C39-C40-C41-C43</f>
        <v>2134.370679999999</v>
      </c>
      <c r="D42" s="60">
        <f t="shared" si="6"/>
        <v>2180.88650854</v>
      </c>
      <c r="E42" s="68">
        <f t="shared" si="6"/>
        <v>2465.5258370399933</v>
      </c>
      <c r="F42" s="44">
        <f t="shared" si="6"/>
        <v>2760.5414500000043</v>
      </c>
      <c r="G42" s="44">
        <f t="shared" si="6"/>
        <v>2693.202089999998</v>
      </c>
      <c r="H42" s="44">
        <f t="shared" si="6"/>
        <v>2776.672071059997</v>
      </c>
    </row>
    <row r="43" spans="1:8" ht="15">
      <c r="A43" s="43" t="str">
        <f>HLOOKUP(INDICE!$F$2,Nombres!$C$3:$D$636,64,FALSE)</f>
        <v>Economic capital allocated</v>
      </c>
      <c r="B43" s="44">
        <v>567.46824</v>
      </c>
      <c r="C43" s="44">
        <v>586.02532</v>
      </c>
      <c r="D43" s="44">
        <v>607.3104914600002</v>
      </c>
      <c r="E43" s="45">
        <v>619.7511629699999</v>
      </c>
      <c r="F43" s="44">
        <v>607.3045500000001</v>
      </c>
      <c r="G43" s="44">
        <v>615.2809100000003</v>
      </c>
      <c r="H43" s="44">
        <v>638.6799289500001</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Relevant business indicators</v>
      </c>
      <c r="B46" s="34"/>
      <c r="C46" s="34"/>
      <c r="D46" s="34"/>
      <c r="E46" s="34"/>
      <c r="F46" s="72"/>
      <c r="G46" s="72"/>
      <c r="H46" s="72"/>
    </row>
    <row r="47" spans="1:8" ht="15">
      <c r="A47" s="35" t="str">
        <f>HLOOKUP(INDICE!$F$2,Nombres!$C$3:$D$636,32,FALSE)</f>
        <v>(Million euros)</v>
      </c>
      <c r="B47" s="30"/>
      <c r="C47" s="30"/>
      <c r="D47" s="30"/>
      <c r="E47" s="30"/>
      <c r="F47" s="73"/>
      <c r="G47" s="44"/>
      <c r="H47" s="44"/>
    </row>
    <row r="48" spans="1:8"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row>
    <row r="49" spans="1:8" ht="15">
      <c r="A49" s="43" t="str">
        <f>HLOOKUP(INDICE!$F$2,Nombres!$C$3:$D$636,66,FALSE)</f>
        <v>Loans and advances to customers (gross) (*)</v>
      </c>
      <c r="B49" s="44">
        <v>13191.879781929996</v>
      </c>
      <c r="C49" s="44">
        <v>13891.96006663</v>
      </c>
      <c r="D49" s="44">
        <v>14135.460075080002</v>
      </c>
      <c r="E49" s="45">
        <v>14027.861318849997</v>
      </c>
      <c r="F49" s="44">
        <v>15002.752739069998</v>
      </c>
      <c r="G49" s="44">
        <v>15070.69852591</v>
      </c>
      <c r="H49" s="44">
        <v>15807.2565184</v>
      </c>
    </row>
    <row r="50" spans="1:8" ht="15">
      <c r="A50" s="43" t="str">
        <f>HLOOKUP(INDICE!$F$2,Nombres!$C$3:$D$636,67,FALSE)</f>
        <v>Customer deposits under management (*)</v>
      </c>
      <c r="B50" s="44">
        <v>11754.712249270002</v>
      </c>
      <c r="C50" s="44">
        <v>12065.18685622</v>
      </c>
      <c r="D50" s="44">
        <v>13006.36306905</v>
      </c>
      <c r="E50" s="45">
        <v>12842.6441804</v>
      </c>
      <c r="F50" s="44">
        <v>14355.83213226</v>
      </c>
      <c r="G50" s="44">
        <v>13808.448059850001</v>
      </c>
      <c r="H50" s="44">
        <v>14629.02010954</v>
      </c>
    </row>
    <row r="51" spans="1:8" ht="15">
      <c r="A51" s="43" t="str">
        <f>HLOOKUP(INDICE!$F$2,Nombres!$C$3:$D$636,68,FALSE)</f>
        <v>Mutual funds</v>
      </c>
      <c r="B51" s="44">
        <v>1618.29997829</v>
      </c>
      <c r="C51" s="44">
        <v>1692.0950755400002</v>
      </c>
      <c r="D51" s="44">
        <v>1697.6484442800001</v>
      </c>
      <c r="E51" s="45">
        <v>1665.7118500499998</v>
      </c>
      <c r="F51" s="44">
        <v>1714.26401994</v>
      </c>
      <c r="G51" s="44">
        <v>1686.0644776200002</v>
      </c>
      <c r="H51" s="44">
        <v>1802.1733370900001</v>
      </c>
    </row>
    <row r="52" spans="1:8" ht="15">
      <c r="A52" s="43" t="str">
        <f>HLOOKUP(INDICE!$F$2,Nombres!$C$3:$D$636,69,FALSE)</f>
        <v>Pension funds</v>
      </c>
      <c r="B52" s="44" t="s">
        <v>407</v>
      </c>
      <c r="C52" s="44" t="s">
        <v>407</v>
      </c>
      <c r="D52" s="44" t="s">
        <v>407</v>
      </c>
      <c r="E52" s="45" t="s">
        <v>407</v>
      </c>
      <c r="F52" s="44" t="s">
        <v>407</v>
      </c>
      <c r="G52" s="44" t="s">
        <v>407</v>
      </c>
      <c r="H52" s="44" t="s">
        <v>407</v>
      </c>
    </row>
    <row r="53" spans="1:8" ht="15">
      <c r="A53" s="43" t="str">
        <f>HLOOKUP(INDICE!$F$2,Nombres!$C$3:$D$636,70,FALSE)</f>
        <v>Other off balance-sheet funds</v>
      </c>
      <c r="B53" s="44" t="s">
        <v>407</v>
      </c>
      <c r="C53" s="44" t="s">
        <v>407</v>
      </c>
      <c r="D53" s="44" t="s">
        <v>407</v>
      </c>
      <c r="E53" s="45" t="s">
        <v>407</v>
      </c>
      <c r="F53" s="44" t="s">
        <v>407</v>
      </c>
      <c r="G53" s="44" t="s">
        <v>407</v>
      </c>
      <c r="H53" s="44" t="s">
        <v>407</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192.09728185958468</v>
      </c>
      <c r="C62" s="41">
        <v>203.19449502226598</v>
      </c>
      <c r="D62" s="41">
        <v>215.19808923304169</v>
      </c>
      <c r="E62" s="42">
        <v>225.67645028263956</v>
      </c>
      <c r="F62" s="52">
        <v>220.93677672278022</v>
      </c>
      <c r="G62" s="52">
        <v>228.6309616961414</v>
      </c>
      <c r="H62" s="52">
        <v>231.51326158107827</v>
      </c>
    </row>
    <row r="63" spans="1:8" ht="15">
      <c r="A63" s="43" t="str">
        <f>HLOOKUP(INDICE!$F$2,Nombres!$C$3:$D$636,34,FALSE)</f>
        <v>Net fees and commissions</v>
      </c>
      <c r="B63" s="44">
        <v>51.74136188840953</v>
      </c>
      <c r="C63" s="44">
        <v>58.36698773176921</v>
      </c>
      <c r="D63" s="44">
        <v>54.594754528795306</v>
      </c>
      <c r="E63" s="45">
        <v>62.30383400104229</v>
      </c>
      <c r="F63" s="44">
        <v>54.73364188380987</v>
      </c>
      <c r="G63" s="44">
        <v>59.62265249416842</v>
      </c>
      <c r="H63" s="44">
        <v>59.92335900202171</v>
      </c>
    </row>
    <row r="64" spans="1:8" ht="15">
      <c r="A64" s="43" t="str">
        <f>HLOOKUP(INDICE!$F$2,Nombres!$C$3:$D$636,35,FALSE)</f>
        <v>Net trading income</v>
      </c>
      <c r="B64" s="44">
        <v>37.00632609305001</v>
      </c>
      <c r="C64" s="44">
        <v>37.331012665336424</v>
      </c>
      <c r="D64" s="44">
        <v>31.594198814589433</v>
      </c>
      <c r="E64" s="45">
        <v>37.32292146442579</v>
      </c>
      <c r="F64" s="44">
        <v>39.38443858739813</v>
      </c>
      <c r="G64" s="44">
        <v>43.44361436966281</v>
      </c>
      <c r="H64" s="44">
        <v>44.03802179293907</v>
      </c>
    </row>
    <row r="65" spans="1:8" ht="15">
      <c r="A65" s="43" t="str">
        <f>HLOOKUP(INDICE!$F$2,Nombres!$C$3:$D$636,36,FALSE)</f>
        <v>Other operating income and expenses</v>
      </c>
      <c r="B65" s="44">
        <v>-3.1070646963380506</v>
      </c>
      <c r="C65" s="44">
        <v>-5.386823837250264</v>
      </c>
      <c r="D65" s="44">
        <v>-3.8989670643856265</v>
      </c>
      <c r="E65" s="45">
        <v>-11.206403723926336</v>
      </c>
      <c r="F65" s="44">
        <v>-6.418113765413417</v>
      </c>
      <c r="G65" s="44">
        <v>-4.724850930850088</v>
      </c>
      <c r="H65" s="44">
        <v>-5.726035303736492</v>
      </c>
    </row>
    <row r="66" spans="1:8" ht="15">
      <c r="A66" s="41" t="str">
        <f>HLOOKUP(INDICE!$F$2,Nombres!$C$3:$D$636,37,FALSE)</f>
        <v>Gross income</v>
      </c>
      <c r="B66" s="41">
        <f>+SUM(B62:B65)</f>
        <v>277.7379051447062</v>
      </c>
      <c r="C66" s="41">
        <f aca="true" t="shared" si="9" ref="C66:H66">+SUM(C62:C65)</f>
        <v>293.5056715821213</v>
      </c>
      <c r="D66" s="41">
        <f t="shared" si="9"/>
        <v>297.48807551204084</v>
      </c>
      <c r="E66" s="42">
        <f t="shared" si="9"/>
        <v>314.09680202418133</v>
      </c>
      <c r="F66" s="52">
        <f t="shared" si="9"/>
        <v>308.6367434285748</v>
      </c>
      <c r="G66" s="52">
        <f t="shared" si="9"/>
        <v>326.9723776291225</v>
      </c>
      <c r="H66" s="52">
        <f t="shared" si="9"/>
        <v>329.74860707230255</v>
      </c>
    </row>
    <row r="67" spans="1:8" ht="15">
      <c r="A67" s="43" t="str">
        <f>HLOOKUP(INDICE!$F$2,Nombres!$C$3:$D$636,38,FALSE)</f>
        <v>Operating expenses</v>
      </c>
      <c r="B67" s="44">
        <v>-104.82159743409755</v>
      </c>
      <c r="C67" s="44">
        <v>-104.66756970595009</v>
      </c>
      <c r="D67" s="44">
        <v>-106.0147770888754</v>
      </c>
      <c r="E67" s="45">
        <v>-110.27600021247594</v>
      </c>
      <c r="F67" s="44">
        <v>-113.18147161563924</v>
      </c>
      <c r="G67" s="44">
        <v>-111.56927489539487</v>
      </c>
      <c r="H67" s="44">
        <v>-116.12078355896591</v>
      </c>
    </row>
    <row r="68" spans="1:8" ht="15">
      <c r="A68" s="43" t="str">
        <f>HLOOKUP(INDICE!$F$2,Nombres!$C$3:$D$636,39,FALSE)</f>
        <v>  Administration expenses</v>
      </c>
      <c r="B68" s="44">
        <v>-95.11508048791505</v>
      </c>
      <c r="C68" s="44">
        <v>-94.51260354852407</v>
      </c>
      <c r="D68" s="44">
        <v>-95.50271753703922</v>
      </c>
      <c r="E68" s="45">
        <v>-100.43367377020516</v>
      </c>
      <c r="F68" s="44">
        <v>-95.97967480344579</v>
      </c>
      <c r="G68" s="44">
        <v>-95.25987505123399</v>
      </c>
      <c r="H68" s="44">
        <v>-99.67098021532026</v>
      </c>
    </row>
    <row r="69" spans="1:8" ht="15">
      <c r="A69" s="46" t="str">
        <f>HLOOKUP(INDICE!$F$2,Nombres!$C$3:$D$636,40,FALSE)</f>
        <v>  Personnel expenses</v>
      </c>
      <c r="B69" s="44">
        <v>-51.26177756455776</v>
      </c>
      <c r="C69" s="44">
        <v>-50.78685699372559</v>
      </c>
      <c r="D69" s="44">
        <v>-51.548007827118326</v>
      </c>
      <c r="E69" s="45">
        <v>-55.99289639621989</v>
      </c>
      <c r="F69" s="44">
        <v>-54.62817360688834</v>
      </c>
      <c r="G69" s="44">
        <v>-53.324691721099214</v>
      </c>
      <c r="H69" s="44">
        <v>-56.25213467201245</v>
      </c>
    </row>
    <row r="70" spans="1:8" ht="15">
      <c r="A70" s="46" t="str">
        <f>HLOOKUP(INDICE!$F$2,Nombres!$C$3:$D$636,41,FALSE)</f>
        <v>  General and administrative expenses</v>
      </c>
      <c r="B70" s="44">
        <v>-43.853302923357305</v>
      </c>
      <c r="C70" s="44">
        <v>-43.72574655479846</v>
      </c>
      <c r="D70" s="44">
        <v>-43.95470970992089</v>
      </c>
      <c r="E70" s="45">
        <v>-44.44077737398527</v>
      </c>
      <c r="F70" s="44">
        <v>-41.351501196557436</v>
      </c>
      <c r="G70" s="44">
        <v>-41.93518333013476</v>
      </c>
      <c r="H70" s="44">
        <v>-43.4188455433078</v>
      </c>
    </row>
    <row r="71" spans="1:8" ht="15">
      <c r="A71" s="43" t="str">
        <f>HLOOKUP(INDICE!$F$2,Nombres!$C$3:$D$636,42,FALSE)</f>
        <v>  Depreciation</v>
      </c>
      <c r="B71" s="44">
        <v>-9.706516946182484</v>
      </c>
      <c r="C71" s="44">
        <v>-10.15496615742604</v>
      </c>
      <c r="D71" s="44">
        <v>-10.512059551836185</v>
      </c>
      <c r="E71" s="45">
        <v>-9.842326442270764</v>
      </c>
      <c r="F71" s="44">
        <v>-17.201796812193457</v>
      </c>
      <c r="G71" s="44">
        <v>-16.309399844160893</v>
      </c>
      <c r="H71" s="44">
        <v>-16.44980334364565</v>
      </c>
    </row>
    <row r="72" spans="1:8" ht="15">
      <c r="A72" s="41" t="str">
        <f>HLOOKUP(INDICE!$F$2,Nombres!$C$3:$D$636,43,FALSE)</f>
        <v>Operating income</v>
      </c>
      <c r="B72" s="41">
        <f>+B66+B67</f>
        <v>172.91630771060863</v>
      </c>
      <c r="C72" s="41">
        <f aca="true" t="shared" si="10" ref="C72:H72">+C66+C67</f>
        <v>188.8381018761712</v>
      </c>
      <c r="D72" s="41">
        <f t="shared" si="10"/>
        <v>191.47329842316543</v>
      </c>
      <c r="E72" s="42">
        <f t="shared" si="10"/>
        <v>203.8208018117054</v>
      </c>
      <c r="F72" s="52">
        <f t="shared" si="10"/>
        <v>195.45527181293556</v>
      </c>
      <c r="G72" s="52">
        <f t="shared" si="10"/>
        <v>215.40310273372762</v>
      </c>
      <c r="H72" s="52">
        <f t="shared" si="10"/>
        <v>213.62782351333664</v>
      </c>
    </row>
    <row r="73" spans="1:8" ht="15">
      <c r="A73" s="43" t="str">
        <f>HLOOKUP(INDICE!$F$2,Nombres!$C$3:$D$636,44,FALSE)</f>
        <v>Impaiment on financial assets not measured at fair value through profit or loss</v>
      </c>
      <c r="B73" s="44">
        <v>-55.10755515240972</v>
      </c>
      <c r="C73" s="44">
        <v>-34.085634796885465</v>
      </c>
      <c r="D73" s="44">
        <v>-56.95642723055094</v>
      </c>
      <c r="E73" s="45">
        <v>7.420174752231283</v>
      </c>
      <c r="F73" s="44">
        <v>-57.43590907670344</v>
      </c>
      <c r="G73" s="44">
        <v>-62.450828548039006</v>
      </c>
      <c r="H73" s="44">
        <v>-47.7782623752575</v>
      </c>
    </row>
    <row r="74" spans="1:8" ht="15">
      <c r="A74" s="43" t="str">
        <f>HLOOKUP(INDICE!$F$2,Nombres!$C$3:$D$636,45,FALSE)</f>
        <v>Provisions or reversal of provisions and other results</v>
      </c>
      <c r="B74" s="44">
        <v>-0.13624672419298656</v>
      </c>
      <c r="C74" s="44">
        <v>-2.7500771108851323</v>
      </c>
      <c r="D74" s="44">
        <v>-1.4259564027577967</v>
      </c>
      <c r="E74" s="45">
        <v>-14.931773226619631</v>
      </c>
      <c r="F74" s="44">
        <v>-3.8506663365245832</v>
      </c>
      <c r="G74" s="44">
        <v>11.54796378343909</v>
      </c>
      <c r="H74" s="44">
        <v>3.7747025530855</v>
      </c>
    </row>
    <row r="75" spans="1:8" ht="15">
      <c r="A75" s="41" t="str">
        <f>HLOOKUP(INDICE!$F$2,Nombres!$C$3:$D$636,46,FALSE)</f>
        <v>Profit/(loss) before tax</v>
      </c>
      <c r="B75" s="41">
        <f>+B72+B73+B74</f>
        <v>117.67250583400593</v>
      </c>
      <c r="C75" s="41">
        <f aca="true" t="shared" si="11" ref="C75:H75">+C72+C73+C74</f>
        <v>152.0023899684006</v>
      </c>
      <c r="D75" s="41">
        <f t="shared" si="11"/>
        <v>133.09091478985667</v>
      </c>
      <c r="E75" s="42">
        <f t="shared" si="11"/>
        <v>196.30920333731703</v>
      </c>
      <c r="F75" s="52">
        <f t="shared" si="11"/>
        <v>134.16869639970753</v>
      </c>
      <c r="G75" s="52">
        <f t="shared" si="11"/>
        <v>164.5002379691277</v>
      </c>
      <c r="H75" s="52">
        <f t="shared" si="11"/>
        <v>169.62426369116463</v>
      </c>
    </row>
    <row r="76" spans="1:8" ht="15">
      <c r="A76" s="43" t="str">
        <f>HLOOKUP(INDICE!$F$2,Nombres!$C$3:$D$636,47,FALSE)</f>
        <v>Income tax</v>
      </c>
      <c r="B76" s="44">
        <v>-34.86825707587516</v>
      </c>
      <c r="C76" s="44">
        <v>-43.558849328424216</v>
      </c>
      <c r="D76" s="44">
        <v>-38.713271560799896</v>
      </c>
      <c r="E76" s="45">
        <v>-50.11709635718366</v>
      </c>
      <c r="F76" s="44">
        <v>-39.360388541034986</v>
      </c>
      <c r="G76" s="44">
        <v>-46.8308499692839</v>
      </c>
      <c r="H76" s="44">
        <v>-48.99361578968111</v>
      </c>
    </row>
    <row r="77" spans="1:8" ht="15">
      <c r="A77" s="41" t="str">
        <f>HLOOKUP(INDICE!$F$2,Nombres!$C$3:$D$636,48,FALSE)</f>
        <v>Profit/(loss) for the year</v>
      </c>
      <c r="B77" s="41">
        <f>+B75+B76</f>
        <v>82.80424875813077</v>
      </c>
      <c r="C77" s="41">
        <f aca="true" t="shared" si="12" ref="C77:H77">+C75+C76</f>
        <v>108.44354063997638</v>
      </c>
      <c r="D77" s="41">
        <f t="shared" si="12"/>
        <v>94.37764322905677</v>
      </c>
      <c r="E77" s="42">
        <f t="shared" si="12"/>
        <v>146.19210698013336</v>
      </c>
      <c r="F77" s="52">
        <f t="shared" si="12"/>
        <v>94.80830785867255</v>
      </c>
      <c r="G77" s="52">
        <f t="shared" si="12"/>
        <v>117.6693879998438</v>
      </c>
      <c r="H77" s="52">
        <f t="shared" si="12"/>
        <v>120.63064790148351</v>
      </c>
    </row>
    <row r="78" spans="1:8" ht="15">
      <c r="A78" s="43" t="str">
        <f>HLOOKUP(INDICE!$F$2,Nombres!$C$3:$D$636,49,FALSE)</f>
        <v>Non-controlling interests</v>
      </c>
      <c r="B78" s="44">
        <v>-45.30354553063528</v>
      </c>
      <c r="C78" s="44">
        <v>-59.00437014248771</v>
      </c>
      <c r="D78" s="44">
        <v>-51.217263852310666</v>
      </c>
      <c r="E78" s="45">
        <v>-78.57692210676181</v>
      </c>
      <c r="F78" s="44">
        <v>-51.647580594459384</v>
      </c>
      <c r="G78" s="44">
        <v>-62.96292691302982</v>
      </c>
      <c r="H78" s="44">
        <v>-65.18684310251079</v>
      </c>
    </row>
    <row r="79" spans="1:8" ht="15">
      <c r="A79" s="47" t="str">
        <f>HLOOKUP(INDICE!$F$2,Nombres!$C$3:$D$636,50,FALSE)</f>
        <v>Net attributable profit</v>
      </c>
      <c r="B79" s="47">
        <f>+B77+B78</f>
        <v>37.500703227495485</v>
      </c>
      <c r="C79" s="47">
        <f aca="true" t="shared" si="13" ref="C79:H79">+C77+C78</f>
        <v>49.43917049748867</v>
      </c>
      <c r="D79" s="47">
        <f t="shared" si="13"/>
        <v>43.16037937674611</v>
      </c>
      <c r="E79" s="47">
        <f t="shared" si="13"/>
        <v>67.61518487337155</v>
      </c>
      <c r="F79" s="53">
        <f t="shared" si="13"/>
        <v>43.160727264213165</v>
      </c>
      <c r="G79" s="53">
        <f t="shared" si="13"/>
        <v>54.70646108681399</v>
      </c>
      <c r="H79" s="53">
        <f t="shared" si="13"/>
        <v>55.44380479897272</v>
      </c>
    </row>
    <row r="80" spans="1:8" ht="15">
      <c r="A80" s="65"/>
      <c r="B80" s="66">
        <v>0</v>
      </c>
      <c r="C80" s="66">
        <v>-1.1368683772161603E-13</v>
      </c>
      <c r="D80" s="66">
        <v>0</v>
      </c>
      <c r="E80" s="66">
        <v>0</v>
      </c>
      <c r="F80" s="66">
        <v>0</v>
      </c>
      <c r="G80" s="66">
        <v>-5.684341886080802E-14</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2853.1417136760238</v>
      </c>
      <c r="C85" s="44">
        <v>2657.6843265766965</v>
      </c>
      <c r="D85" s="44">
        <v>2392.176916027618</v>
      </c>
      <c r="E85" s="45">
        <v>3162.313096162609</v>
      </c>
      <c r="F85" s="44">
        <v>3392.49747417885</v>
      </c>
      <c r="G85" s="44">
        <v>2702.505788113562</v>
      </c>
      <c r="H85" s="44">
        <v>2804.511</v>
      </c>
    </row>
    <row r="86" spans="1:8" ht="15">
      <c r="A86" s="43" t="str">
        <f>HLOOKUP(INDICE!$F$2,Nombres!$C$3:$D$636,53,FALSE)</f>
        <v>Financial assets designated at fair value </v>
      </c>
      <c r="B86" s="60">
        <v>2377.309007890055</v>
      </c>
      <c r="C86" s="60">
        <v>1918.5601150667844</v>
      </c>
      <c r="D86" s="60">
        <v>2465.882228680627</v>
      </c>
      <c r="E86" s="68">
        <v>1895.1764697508033</v>
      </c>
      <c r="F86" s="44">
        <v>2264.2334131512675</v>
      </c>
      <c r="G86" s="44">
        <v>2014.162206576218</v>
      </c>
      <c r="H86" s="44">
        <v>2339.188</v>
      </c>
    </row>
    <row r="87" spans="1:8" ht="15">
      <c r="A87" s="43" t="str">
        <f>HLOOKUP(INDICE!$F$2,Nombres!$C$3:$D$636,54,FALSE)</f>
        <v>Financial assets at amortized cost</v>
      </c>
      <c r="B87" s="44">
        <v>15030.989211815791</v>
      </c>
      <c r="C87" s="44">
        <v>14664.564797074645</v>
      </c>
      <c r="D87" s="44">
        <v>14463.62101986909</v>
      </c>
      <c r="E87" s="45">
        <v>14688.37369305788</v>
      </c>
      <c r="F87" s="44">
        <v>15327.697647945834</v>
      </c>
      <c r="G87" s="44">
        <v>15800.905868433436</v>
      </c>
      <c r="H87" s="44">
        <v>16249.286</v>
      </c>
    </row>
    <row r="88" spans="1:8" ht="15">
      <c r="A88" s="43" t="str">
        <f>HLOOKUP(INDICE!$F$2,Nombres!$C$3:$D$636,55,FALSE)</f>
        <v>    of which loans and advances to customers</v>
      </c>
      <c r="B88" s="44">
        <v>13501.899869922298</v>
      </c>
      <c r="C88" s="44">
        <v>13734.417013613642</v>
      </c>
      <c r="D88" s="44">
        <v>13948.516126808718</v>
      </c>
      <c r="E88" s="45">
        <v>14086.477210877476</v>
      </c>
      <c r="F88" s="44">
        <v>14528.394218497086</v>
      </c>
      <c r="G88" s="44">
        <v>14795.335364697645</v>
      </c>
      <c r="H88" s="44">
        <v>15242.633</v>
      </c>
    </row>
    <row r="89" spans="1:8" ht="15">
      <c r="A89" s="43" t="str">
        <f>HLOOKUP(INDICE!$F$2,Nombres!$C$3:$D$636,56,FALSE)</f>
        <v>Tangible assets</v>
      </c>
      <c r="B89" s="44">
        <v>239.3023804183493</v>
      </c>
      <c r="C89" s="44">
        <v>235.4625110863037</v>
      </c>
      <c r="D89" s="44">
        <v>236.32735628383534</v>
      </c>
      <c r="E89" s="45">
        <v>251.1983083532012</v>
      </c>
      <c r="F89" s="44">
        <v>313.71412104245786</v>
      </c>
      <c r="G89" s="44">
        <v>312.6986802844802</v>
      </c>
      <c r="H89" s="44">
        <v>313.453</v>
      </c>
    </row>
    <row r="90" spans="1:8" ht="15">
      <c r="A90" s="43" t="str">
        <f>HLOOKUP(INDICE!$F$2,Nombres!$C$3:$D$636,57,FALSE)</f>
        <v>Other assets</v>
      </c>
      <c r="B90" s="60">
        <f>+B91-B89-B87-B86-B85</f>
        <v>313.70260882280036</v>
      </c>
      <c r="C90" s="60">
        <f aca="true" t="shared" si="15" ref="C90:H90">+C91-C89-C87-C86-C85</f>
        <v>291.7478250654076</v>
      </c>
      <c r="D90" s="60">
        <f t="shared" si="15"/>
        <v>313.15973687673886</v>
      </c>
      <c r="E90" s="68">
        <f t="shared" si="15"/>
        <v>350.0213468244242</v>
      </c>
      <c r="F90" s="44">
        <f t="shared" si="15"/>
        <v>398.6404459074106</v>
      </c>
      <c r="G90" s="44">
        <f t="shared" si="15"/>
        <v>367.56702984933145</v>
      </c>
      <c r="H90" s="44">
        <f t="shared" si="15"/>
        <v>387.4250000099969</v>
      </c>
    </row>
    <row r="91" spans="1:8" ht="15">
      <c r="A91" s="47" t="str">
        <f>HLOOKUP(INDICE!$F$2,Nombres!$C$3:$D$636,58,FALSE)</f>
        <v>Total assets / Liabilities and equity</v>
      </c>
      <c r="B91" s="47">
        <v>20814.44492262302</v>
      </c>
      <c r="C91" s="47">
        <v>19768.01957486984</v>
      </c>
      <c r="D91" s="47">
        <v>19871.16725773791</v>
      </c>
      <c r="E91" s="47">
        <v>20347.082914148916</v>
      </c>
      <c r="F91" s="53">
        <v>21696.783102225818</v>
      </c>
      <c r="G91" s="53">
        <v>21197.839573257028</v>
      </c>
      <c r="H91" s="53">
        <v>22093.86300001</v>
      </c>
    </row>
    <row r="92" spans="1:8" ht="15">
      <c r="A92" s="43" t="str">
        <f>HLOOKUP(INDICE!$F$2,Nombres!$C$3:$D$636,59,FALSE)</f>
        <v>Financial liabilities held for trading and designated at fair value through profit or loss</v>
      </c>
      <c r="B92" s="60">
        <v>100.72556523904377</v>
      </c>
      <c r="C92" s="60">
        <v>92.82805227316251</v>
      </c>
      <c r="D92" s="60">
        <v>100.85908324944953</v>
      </c>
      <c r="E92" s="68">
        <v>97.63727953611303</v>
      </c>
      <c r="F92" s="44">
        <v>87.76415683804588</v>
      </c>
      <c r="G92" s="44">
        <v>110.69193867169507</v>
      </c>
      <c r="H92" s="44">
        <v>133.399</v>
      </c>
    </row>
    <row r="93" spans="1:8" ht="15">
      <c r="A93" s="43" t="str">
        <f>HLOOKUP(INDICE!$F$2,Nombres!$C$3:$D$636,60,FALSE)</f>
        <v>Deposits from central banks and credit institutions</v>
      </c>
      <c r="B93" s="60">
        <v>2903.660120438744</v>
      </c>
      <c r="C93" s="60">
        <v>2871.415696692582</v>
      </c>
      <c r="D93" s="60">
        <v>1889.4331142006654</v>
      </c>
      <c r="E93" s="68">
        <v>1960.8192449228804</v>
      </c>
      <c r="F93" s="44">
        <v>2112.8307223984484</v>
      </c>
      <c r="G93" s="44">
        <v>2271.928515922289</v>
      </c>
      <c r="H93" s="44">
        <v>2425.084</v>
      </c>
    </row>
    <row r="94" spans="1:8" ht="15">
      <c r="A94" s="43" t="str">
        <f>HLOOKUP(INDICE!$F$2,Nombres!$C$3:$D$636,61,FALSE)</f>
        <v>Deposits from customers</v>
      </c>
      <c r="B94" s="60">
        <v>12979.85543942442</v>
      </c>
      <c r="C94" s="60">
        <v>12509.07718512999</v>
      </c>
      <c r="D94" s="60">
        <v>13481.840882237491</v>
      </c>
      <c r="E94" s="68">
        <v>13505.663102815077</v>
      </c>
      <c r="F94" s="44">
        <v>14551.78253175711</v>
      </c>
      <c r="G94" s="44">
        <v>14033.440370851209</v>
      </c>
      <c r="H94" s="44">
        <v>14629.024000000001</v>
      </c>
    </row>
    <row r="95" spans="1:8" ht="15">
      <c r="A95" s="43" t="str">
        <f>HLOOKUP(INDICE!$F$2,Nombres!$C$3:$D$636,62,FALSE)</f>
        <v>Debt certificates</v>
      </c>
      <c r="B95" s="44">
        <v>1871.4051786005527</v>
      </c>
      <c r="C95" s="44">
        <v>1474.2163425220208</v>
      </c>
      <c r="D95" s="44">
        <v>1509.1165616030582</v>
      </c>
      <c r="E95" s="45">
        <v>1545.4457912671132</v>
      </c>
      <c r="F95" s="44">
        <v>1533.4916800802434</v>
      </c>
      <c r="G95" s="44">
        <v>1419.6576992803011</v>
      </c>
      <c r="H95" s="44">
        <v>1491.0040000000001</v>
      </c>
    </row>
    <row r="96" spans="1:8" ht="15">
      <c r="A96" s="43" t="str">
        <f>HLOOKUP(INDICE!$F$2,Nombres!$C$3:$D$636,63,FALSE)</f>
        <v>Other liabilities</v>
      </c>
      <c r="B96" s="60">
        <f>+B91-B92-B93-B94-B95-B97</f>
        <v>2345.5225172356877</v>
      </c>
      <c r="C96" s="60">
        <f aca="true" t="shared" si="16" ref="C96:H96">+C91-C92-C93-C94-C95-C97</f>
        <v>2212.8964756779005</v>
      </c>
      <c r="D96" s="60">
        <f t="shared" si="16"/>
        <v>2260.450872195139</v>
      </c>
      <c r="E96" s="68">
        <f t="shared" si="16"/>
        <v>2587.1852132771314</v>
      </c>
      <c r="F96" s="44">
        <f t="shared" si="16"/>
        <v>2795.8432511969895</v>
      </c>
      <c r="G96" s="44">
        <f t="shared" si="16"/>
        <v>2736.86503292842</v>
      </c>
      <c r="H96" s="44">
        <f t="shared" si="16"/>
        <v>2776.672071059997</v>
      </c>
    </row>
    <row r="97" spans="1:8" ht="15">
      <c r="A97" s="43" t="str">
        <f>HLOOKUP(INDICE!$F$2,Nombres!$C$3:$D$636,64,FALSE)</f>
        <v>Economic capital allocated</v>
      </c>
      <c r="B97" s="44">
        <v>613.2761016845708</v>
      </c>
      <c r="C97" s="44">
        <v>607.5858225741815</v>
      </c>
      <c r="D97" s="44">
        <v>629.4667442521069</v>
      </c>
      <c r="E97" s="45">
        <v>650.3322823306004</v>
      </c>
      <c r="F97" s="44">
        <v>615.0707599549811</v>
      </c>
      <c r="G97" s="44">
        <v>625.2560156031138</v>
      </c>
      <c r="H97" s="44">
        <v>638.6799289500001</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14256.770751705035</v>
      </c>
      <c r="C103" s="44">
        <v>14403.060236801839</v>
      </c>
      <c r="D103" s="44">
        <v>14651.158109545506</v>
      </c>
      <c r="E103" s="45">
        <v>14720.054778092392</v>
      </c>
      <c r="F103" s="44">
        <v>15194.607925523474</v>
      </c>
      <c r="G103" s="44">
        <v>15315.028890895059</v>
      </c>
      <c r="H103" s="44">
        <v>15807.2565184</v>
      </c>
    </row>
    <row r="104" spans="1:8" ht="15">
      <c r="A104" s="43" t="str">
        <f>HLOOKUP(INDICE!$F$2,Nombres!$C$3:$D$636,67,FALSE)</f>
        <v>Customer deposits under management (*)</v>
      </c>
      <c r="B104" s="44">
        <v>12703.590432930972</v>
      </c>
      <c r="C104" s="44">
        <v>12509.078072851247</v>
      </c>
      <c r="D104" s="44">
        <v>13480.868733147805</v>
      </c>
      <c r="E104" s="45">
        <v>13476.354059546355</v>
      </c>
      <c r="F104" s="44">
        <v>14539.41449866513</v>
      </c>
      <c r="G104" s="44">
        <v>14032.314468466695</v>
      </c>
      <c r="H104" s="44">
        <v>14629.02010954</v>
      </c>
    </row>
    <row r="105" spans="1:8" ht="15">
      <c r="A105" s="43" t="str">
        <f>HLOOKUP(INDICE!$F$2,Nombres!$C$3:$D$636,68,FALSE)</f>
        <v>Mutual funds</v>
      </c>
      <c r="B105" s="44">
        <v>1748.9343580566137</v>
      </c>
      <c r="C105" s="44">
        <v>1754.349075472871</v>
      </c>
      <c r="D105" s="44">
        <v>1759.5830372312423</v>
      </c>
      <c r="E105" s="45">
        <v>1747.9050526615638</v>
      </c>
      <c r="F105" s="44">
        <v>1736.1860264474842</v>
      </c>
      <c r="G105" s="44">
        <v>1713.3994248685954</v>
      </c>
      <c r="H105" s="44">
        <v>1802.1733370900001</v>
      </c>
    </row>
    <row r="106" spans="1:8" ht="15">
      <c r="A106" s="43" t="str">
        <f>HLOOKUP(INDICE!$F$2,Nombres!$C$3:$D$636,69,FALSE)</f>
        <v>Pension funds</v>
      </c>
      <c r="B106" s="44" t="s">
        <v>407</v>
      </c>
      <c r="C106" s="44" t="s">
        <v>407</v>
      </c>
      <c r="D106" s="44" t="s">
        <v>407</v>
      </c>
      <c r="E106" s="45" t="s">
        <v>407</v>
      </c>
      <c r="F106" s="44" t="s">
        <v>407</v>
      </c>
      <c r="G106" s="44" t="s">
        <v>407</v>
      </c>
      <c r="H106" s="44" t="s">
        <v>407</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HLOOKUP(INDICE!$F$2,Nombres!$C$3:$D$636,79,FALSE)</f>
        <v>(Million Peruvian soles)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718.0256383732125</v>
      </c>
      <c r="C116" s="41">
        <v>759.5050569686414</v>
      </c>
      <c r="D116" s="41">
        <v>804.3723674924072</v>
      </c>
      <c r="E116" s="42">
        <v>843.5386264259504</v>
      </c>
      <c r="F116" s="52">
        <v>825.8225655813931</v>
      </c>
      <c r="G116" s="52">
        <v>854.5820671411161</v>
      </c>
      <c r="H116" s="52">
        <v>865.3555939439445</v>
      </c>
    </row>
    <row r="117" spans="1:8" ht="15">
      <c r="A117" s="43" t="str">
        <f>HLOOKUP(INDICE!$F$2,Nombres!$C$3:$D$636,34,FALSE)</f>
        <v>Net fees and commissions</v>
      </c>
      <c r="B117" s="44">
        <v>193.4000525180829</v>
      </c>
      <c r="C117" s="44">
        <v>218.16546918482078</v>
      </c>
      <c r="D117" s="44">
        <v>204.06552915736208</v>
      </c>
      <c r="E117" s="45">
        <v>232.8807037175936</v>
      </c>
      <c r="F117" s="44">
        <v>204.58466550734533</v>
      </c>
      <c r="G117" s="44">
        <v>222.8589218140125</v>
      </c>
      <c r="H117" s="44">
        <v>223.98290951531763</v>
      </c>
    </row>
    <row r="118" spans="1:8" ht="15">
      <c r="A118" s="43" t="str">
        <f>HLOOKUP(INDICE!$F$2,Nombres!$C$3:$D$636,35,FALSE)</f>
        <v>Net trading income</v>
      </c>
      <c r="B118" s="44">
        <v>138.32309681629013</v>
      </c>
      <c r="C118" s="44">
        <v>139.53671775397507</v>
      </c>
      <c r="D118" s="44">
        <v>118.09352299590537</v>
      </c>
      <c r="E118" s="45">
        <v>139.50647427711357</v>
      </c>
      <c r="F118" s="44">
        <v>147.21206039426397</v>
      </c>
      <c r="G118" s="44">
        <v>162.3845409942765</v>
      </c>
      <c r="H118" s="44">
        <v>164.6063307323721</v>
      </c>
    </row>
    <row r="119" spans="1:8" ht="15">
      <c r="A119" s="43" t="str">
        <f>HLOOKUP(INDICE!$F$2,Nombres!$C$3:$D$636,36,FALSE)</f>
        <v>Other operating income and expenses</v>
      </c>
      <c r="B119" s="44">
        <v>-11.613657884476133</v>
      </c>
      <c r="C119" s="44">
        <v>-20.13499403584961</v>
      </c>
      <c r="D119" s="44">
        <v>-14.573648769522853</v>
      </c>
      <c r="E119" s="45">
        <v>-41.88755358663435</v>
      </c>
      <c r="F119" s="44">
        <v>-23.989773249011417</v>
      </c>
      <c r="G119" s="44">
        <v>-17.660656480926836</v>
      </c>
      <c r="H119" s="44">
        <v>-21.40290645714728</v>
      </c>
    </row>
    <row r="120" spans="1:8" ht="15">
      <c r="A120" s="41" t="str">
        <f>HLOOKUP(INDICE!$F$2,Nombres!$C$3:$D$636,37,FALSE)</f>
        <v>Gross income</v>
      </c>
      <c r="B120" s="41">
        <f>+SUM(B116:B119)</f>
        <v>1038.1351298231093</v>
      </c>
      <c r="C120" s="41">
        <f aca="true" t="shared" si="19" ref="C120:H120">+SUM(C116:C119)</f>
        <v>1097.0722498715877</v>
      </c>
      <c r="D120" s="41">
        <f t="shared" si="19"/>
        <v>1111.957770876152</v>
      </c>
      <c r="E120" s="42">
        <f t="shared" si="19"/>
        <v>1174.038250834023</v>
      </c>
      <c r="F120" s="52">
        <f t="shared" si="19"/>
        <v>1153.629518233991</v>
      </c>
      <c r="G120" s="52">
        <f t="shared" si="19"/>
        <v>1222.1648734684782</v>
      </c>
      <c r="H120" s="52">
        <f t="shared" si="19"/>
        <v>1232.541927734487</v>
      </c>
    </row>
    <row r="121" spans="1:8" ht="15">
      <c r="A121" s="43" t="str">
        <f>HLOOKUP(INDICE!$F$2,Nombres!$C$3:$D$636,38,FALSE)</f>
        <v>Operating expenses</v>
      </c>
      <c r="B121" s="44">
        <v>-391.80457778644245</v>
      </c>
      <c r="C121" s="44">
        <v>-391.22884940153415</v>
      </c>
      <c r="D121" s="44">
        <v>-396.26447214320933</v>
      </c>
      <c r="E121" s="45">
        <v>-412.1921699427563</v>
      </c>
      <c r="F121" s="44">
        <v>-423.0523077793573</v>
      </c>
      <c r="G121" s="44">
        <v>-417.02620179789534</v>
      </c>
      <c r="H121" s="44">
        <v>-434.0389355653134</v>
      </c>
    </row>
    <row r="122" spans="1:8" ht="15">
      <c r="A122" s="43" t="str">
        <f>HLOOKUP(INDICE!$F$2,Nombres!$C$3:$D$636,39,FALSE)</f>
        <v>  Administration expenses</v>
      </c>
      <c r="B122" s="44">
        <v>-355.52333549506255</v>
      </c>
      <c r="C122" s="44">
        <v>-353.271383334034</v>
      </c>
      <c r="D122" s="44">
        <v>-356.97225417293305</v>
      </c>
      <c r="E122" s="45">
        <v>-375.40329579327863</v>
      </c>
      <c r="F122" s="44">
        <v>-358.7550360133268</v>
      </c>
      <c r="G122" s="44">
        <v>-356.0645519441117</v>
      </c>
      <c r="H122" s="44">
        <v>-372.5524822818744</v>
      </c>
    </row>
    <row r="123" spans="1:8" ht="15">
      <c r="A123" s="46" t="str">
        <f>HLOOKUP(INDICE!$F$2,Nombres!$C$3:$D$636,40,FALSE)</f>
        <v>  Personnel expenses</v>
      </c>
      <c r="B123" s="44">
        <v>-191.60745120194792</v>
      </c>
      <c r="C123" s="44">
        <v>-189.83228216911587</v>
      </c>
      <c r="D123" s="44">
        <v>-192.67732926064434</v>
      </c>
      <c r="E123" s="45">
        <v>-209.2915359866916</v>
      </c>
      <c r="F123" s="44">
        <v>-204.19044375609718</v>
      </c>
      <c r="G123" s="44">
        <v>-199.31825918330463</v>
      </c>
      <c r="H123" s="44">
        <v>-210.26052277643083</v>
      </c>
    </row>
    <row r="124" spans="1:8" ht="15">
      <c r="A124" s="46" t="str">
        <f>HLOOKUP(INDICE!$F$2,Nombres!$C$3:$D$636,41,FALSE)</f>
        <v>  General and administrative expenses</v>
      </c>
      <c r="B124" s="44">
        <v>-163.91588429311463</v>
      </c>
      <c r="C124" s="44">
        <v>-163.4391011649181</v>
      </c>
      <c r="D124" s="44">
        <v>-164.29492491228862</v>
      </c>
      <c r="E124" s="45">
        <v>-166.1117598065871</v>
      </c>
      <c r="F124" s="44">
        <v>-154.56459225722958</v>
      </c>
      <c r="G124" s="44">
        <v>-156.74629276080705</v>
      </c>
      <c r="H124" s="44">
        <v>-162.29195950544363</v>
      </c>
    </row>
    <row r="125" spans="1:8" ht="15">
      <c r="A125" s="43" t="str">
        <f>HLOOKUP(INDICE!$F$2,Nombres!$C$3:$D$636,42,FALSE)</f>
        <v>  Depreciation</v>
      </c>
      <c r="B125" s="44">
        <v>-36.28124229137987</v>
      </c>
      <c r="C125" s="44">
        <v>-37.95746606750017</v>
      </c>
      <c r="D125" s="44">
        <v>-39.2922179702763</v>
      </c>
      <c r="E125" s="45">
        <v>-36.788874149477714</v>
      </c>
      <c r="F125" s="44">
        <v>-64.2972717660306</v>
      </c>
      <c r="G125" s="44">
        <v>-60.96164985378372</v>
      </c>
      <c r="H125" s="44">
        <v>-61.486453283439005</v>
      </c>
    </row>
    <row r="126" spans="1:8" ht="15">
      <c r="A126" s="41" t="str">
        <f>HLOOKUP(INDICE!$F$2,Nombres!$C$3:$D$636,43,FALSE)</f>
        <v>Operating income</v>
      </c>
      <c r="B126" s="41">
        <f>+B120+B121</f>
        <v>646.3305520366669</v>
      </c>
      <c r="C126" s="41">
        <f aca="true" t="shared" si="20" ref="C126:H126">+C120+C121</f>
        <v>705.8434004700536</v>
      </c>
      <c r="D126" s="41">
        <f t="shared" si="20"/>
        <v>715.6932987329426</v>
      </c>
      <c r="E126" s="42">
        <f t="shared" si="20"/>
        <v>761.8460808912668</v>
      </c>
      <c r="F126" s="52">
        <f t="shared" si="20"/>
        <v>730.5772104546336</v>
      </c>
      <c r="G126" s="52">
        <f t="shared" si="20"/>
        <v>805.1386716705829</v>
      </c>
      <c r="H126" s="52">
        <f t="shared" si="20"/>
        <v>798.5029921691736</v>
      </c>
    </row>
    <row r="127" spans="1:8" ht="15">
      <c r="A127" s="43" t="str">
        <f>HLOOKUP(INDICE!$F$2,Nombres!$C$3:$D$636,44,FALSE)</f>
        <v>Impaiment on financial assets not measured at fair value through profit or loss</v>
      </c>
      <c r="B127" s="44">
        <v>-205.98228712272527</v>
      </c>
      <c r="C127" s="44">
        <v>-127.4060697135715</v>
      </c>
      <c r="D127" s="44">
        <v>-212.8930437004685</v>
      </c>
      <c r="E127" s="45">
        <v>27.735299852946866</v>
      </c>
      <c r="F127" s="44">
        <v>-214.68526197310226</v>
      </c>
      <c r="G127" s="44">
        <v>-233.43014331623323</v>
      </c>
      <c r="H127" s="44">
        <v>-178.58668800651432</v>
      </c>
    </row>
    <row r="128" spans="1:8" ht="15">
      <c r="A128" s="43" t="str">
        <f>HLOOKUP(INDICE!$F$2,Nombres!$C$3:$D$636,45,FALSE)</f>
        <v>Provisions or reversal of provisions and other results</v>
      </c>
      <c r="B128" s="44">
        <v>-0.5092661393638807</v>
      </c>
      <c r="C128" s="44">
        <v>-10.279301476853941</v>
      </c>
      <c r="D128" s="44">
        <v>-5.329972639232591</v>
      </c>
      <c r="E128" s="45">
        <v>-55.81232539731878</v>
      </c>
      <c r="F128" s="44">
        <v>-14.393109198006849</v>
      </c>
      <c r="G128" s="44">
        <v>43.1642446329642</v>
      </c>
      <c r="H128" s="44">
        <v>14.109170021100827</v>
      </c>
    </row>
    <row r="129" spans="1:8" ht="15">
      <c r="A129" s="41" t="str">
        <f>HLOOKUP(INDICE!$F$2,Nombres!$C$3:$D$636,46,FALSE)</f>
        <v>Profit/(loss) before tax</v>
      </c>
      <c r="B129" s="41">
        <f>+B126+B127+B128</f>
        <v>439.8389987745777</v>
      </c>
      <c r="C129" s="41">
        <f aca="true" t="shared" si="21" ref="C129:H129">+C126+C127+C128</f>
        <v>568.1580292796282</v>
      </c>
      <c r="D129" s="41">
        <f t="shared" si="21"/>
        <v>497.47028239324146</v>
      </c>
      <c r="E129" s="42">
        <f t="shared" si="21"/>
        <v>733.7690553468949</v>
      </c>
      <c r="F129" s="52">
        <f t="shared" si="21"/>
        <v>501.4988392835245</v>
      </c>
      <c r="G129" s="52">
        <f t="shared" si="21"/>
        <v>614.872772987314</v>
      </c>
      <c r="H129" s="52">
        <f t="shared" si="21"/>
        <v>634.02547418376</v>
      </c>
    </row>
    <row r="130" spans="1:8" ht="15">
      <c r="A130" s="43" t="str">
        <f>HLOOKUP(INDICE!$F$2,Nombres!$C$3:$D$636,47,FALSE)</f>
        <v>Income tax</v>
      </c>
      <c r="B130" s="44">
        <v>-130.3313732682958</v>
      </c>
      <c r="C130" s="44">
        <v>-162.81526887353945</v>
      </c>
      <c r="D130" s="44">
        <v>-144.70335684540004</v>
      </c>
      <c r="E130" s="45">
        <v>-187.32883545735132</v>
      </c>
      <c r="F130" s="44">
        <v>-147.1221655778166</v>
      </c>
      <c r="G130" s="44">
        <v>-175.04542812497616</v>
      </c>
      <c r="H130" s="44">
        <v>-183.12946395208158</v>
      </c>
    </row>
    <row r="131" spans="1:8" ht="15">
      <c r="A131" s="41" t="str">
        <f>HLOOKUP(INDICE!$F$2,Nombres!$C$3:$D$636,48,FALSE)</f>
        <v>Profit/(loss) for the year</v>
      </c>
      <c r="B131" s="41">
        <f>+B129+B130</f>
        <v>309.5076255062819</v>
      </c>
      <c r="C131" s="41">
        <f aca="true" t="shared" si="22" ref="C131:H131">+C129+C130</f>
        <v>405.3427604060887</v>
      </c>
      <c r="D131" s="41">
        <f t="shared" si="22"/>
        <v>352.7669255478414</v>
      </c>
      <c r="E131" s="42">
        <f t="shared" si="22"/>
        <v>546.4402198895436</v>
      </c>
      <c r="F131" s="52">
        <f t="shared" si="22"/>
        <v>354.3766737057079</v>
      </c>
      <c r="G131" s="52">
        <f t="shared" si="22"/>
        <v>439.8273448623378</v>
      </c>
      <c r="H131" s="52">
        <f t="shared" si="22"/>
        <v>450.8960102316785</v>
      </c>
    </row>
    <row r="132" spans="1:8" ht="15">
      <c r="A132" s="43" t="str">
        <f>HLOOKUP(INDICE!$F$2,Nombres!$C$3:$D$636,49,FALSE)</f>
        <v>Non-controlling interests</v>
      </c>
      <c r="B132" s="44">
        <v>-169.33663446618544</v>
      </c>
      <c r="C132" s="44">
        <v>-220.54789181940305</v>
      </c>
      <c r="D132" s="44">
        <v>-191.44106682449518</v>
      </c>
      <c r="E132" s="45">
        <v>-293.706626720261</v>
      </c>
      <c r="F132" s="44">
        <v>-193.04951464058578</v>
      </c>
      <c r="G132" s="44">
        <v>-235.34427636316116</v>
      </c>
      <c r="H132" s="44">
        <v>-243.65688144628677</v>
      </c>
    </row>
    <row r="133" spans="1:8" ht="15">
      <c r="A133" s="47" t="str">
        <f>HLOOKUP(INDICE!$F$2,Nombres!$C$3:$D$636,50,FALSE)</f>
        <v>Net attributable profit</v>
      </c>
      <c r="B133" s="47">
        <f>+B131+B132</f>
        <v>140.17099104009645</v>
      </c>
      <c r="C133" s="47">
        <f aca="true" t="shared" si="23" ref="C133:H133">+C131+C132</f>
        <v>184.79486858668565</v>
      </c>
      <c r="D133" s="47">
        <f t="shared" si="23"/>
        <v>161.32585872334624</v>
      </c>
      <c r="E133" s="47">
        <f t="shared" si="23"/>
        <v>252.73359316928264</v>
      </c>
      <c r="F133" s="53">
        <f t="shared" si="23"/>
        <v>161.32715906512212</v>
      </c>
      <c r="G133" s="53">
        <f t="shared" si="23"/>
        <v>204.48306849917662</v>
      </c>
      <c r="H133" s="53">
        <f t="shared" si="23"/>
        <v>207.2391287853917</v>
      </c>
    </row>
    <row r="134" spans="1:8" ht="15">
      <c r="A134" s="65"/>
      <c r="B134" s="66">
        <v>0</v>
      </c>
      <c r="C134" s="66">
        <v>0</v>
      </c>
      <c r="D134" s="66">
        <v>0</v>
      </c>
      <c r="E134" s="66">
        <v>0</v>
      </c>
      <c r="F134" s="66">
        <v>0</v>
      </c>
      <c r="G134" s="66">
        <v>0</v>
      </c>
      <c r="H134" s="66">
        <v>0</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HLOOKUP(INDICE!$F$2,Nombres!$C$3:$D$636,79,FALSE)</f>
        <v>(Million Peruvian soles)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10500.93672064246</v>
      </c>
      <c r="C139" s="44">
        <v>9781.55932565576</v>
      </c>
      <c r="D139" s="44">
        <v>8804.364080262456</v>
      </c>
      <c r="E139" s="45">
        <v>11638.836428800396</v>
      </c>
      <c r="F139" s="44">
        <v>12486.02588877107</v>
      </c>
      <c r="G139" s="44">
        <v>9946.52390805602</v>
      </c>
      <c r="H139" s="44">
        <v>10321.952254310552</v>
      </c>
    </row>
    <row r="140" spans="1:8" ht="15">
      <c r="A140" s="43" t="str">
        <f>HLOOKUP(INDICE!$F$2,Nombres!$C$3:$D$636,53,FALSE)</f>
        <v>Financial assets designated at fair value </v>
      </c>
      <c r="B140" s="60">
        <v>8749.643011984455</v>
      </c>
      <c r="C140" s="60">
        <v>7061.225969427081</v>
      </c>
      <c r="D140" s="60">
        <v>9075.635156786451</v>
      </c>
      <c r="E140" s="68">
        <v>6975.162883747155</v>
      </c>
      <c r="F140" s="44">
        <v>8333.47032090871</v>
      </c>
      <c r="G140" s="44">
        <v>7413.087746390194</v>
      </c>
      <c r="H140" s="44">
        <v>8609.339328623135</v>
      </c>
    </row>
    <row r="141" spans="1:8" ht="15">
      <c r="A141" s="43" t="str">
        <f>HLOOKUP(INDICE!$F$2,Nombres!$C$3:$D$636,54,FALSE)</f>
        <v>Financial assets at amortized cost</v>
      </c>
      <c r="B141" s="44">
        <v>55321.285236328054</v>
      </c>
      <c r="C141" s="44">
        <v>53972.66677351162</v>
      </c>
      <c r="D141" s="44">
        <v>53233.09681849394</v>
      </c>
      <c r="E141" s="45">
        <v>54060.294986617846</v>
      </c>
      <c r="F141" s="44">
        <v>56413.315294753724</v>
      </c>
      <c r="G141" s="44">
        <v>58154.949632511816</v>
      </c>
      <c r="H141" s="44">
        <v>59805.204635901544</v>
      </c>
    </row>
    <row r="142" spans="1:8" ht="15">
      <c r="A142" s="43" t="str">
        <f>HLOOKUP(INDICE!$F$2,Nombres!$C$3:$D$636,55,FALSE)</f>
        <v>    of which loans and advances to customers</v>
      </c>
      <c r="B142" s="44">
        <v>49693.499437092556</v>
      </c>
      <c r="C142" s="44">
        <v>50549.27459914066</v>
      </c>
      <c r="D142" s="44">
        <v>51337.26253147173</v>
      </c>
      <c r="E142" s="45">
        <v>51845.025818087706</v>
      </c>
      <c r="F142" s="44">
        <v>53471.49341012688</v>
      </c>
      <c r="G142" s="44">
        <v>54453.96549377822</v>
      </c>
      <c r="H142" s="44">
        <v>56100.23638915248</v>
      </c>
    </row>
    <row r="143" spans="1:8" ht="15">
      <c r="A143" s="43" t="str">
        <f>HLOOKUP(INDICE!$F$2,Nombres!$C$3:$D$636,56,FALSE)</f>
        <v>Tangible assets</v>
      </c>
      <c r="B143" s="44">
        <v>880.7481036876167</v>
      </c>
      <c r="C143" s="44">
        <v>866.6155337286594</v>
      </c>
      <c r="D143" s="44">
        <v>869.7985809109637</v>
      </c>
      <c r="E143" s="45">
        <v>924.5308523251728</v>
      </c>
      <c r="F143" s="44">
        <v>1154.6191756435442</v>
      </c>
      <c r="G143" s="44">
        <v>1150.881864211738</v>
      </c>
      <c r="H143" s="44">
        <v>1153.658124346956</v>
      </c>
    </row>
    <row r="144" spans="1:8" ht="15">
      <c r="A144" s="43" t="str">
        <f>HLOOKUP(INDICE!$F$2,Nombres!$C$3:$D$636,57,FALSE)</f>
        <v>Other assets</v>
      </c>
      <c r="B144" s="60">
        <f>+B145-B143-B141-B140-B139</f>
        <v>1154.5768051263094</v>
      </c>
      <c r="C144" s="60">
        <f aca="true" t="shared" si="25" ref="C144:H144">+C145-C143-C141-C140-C139</f>
        <v>1073.7726186932978</v>
      </c>
      <c r="D144" s="60">
        <f t="shared" si="25"/>
        <v>1152.578774700536</v>
      </c>
      <c r="E144" s="68">
        <f t="shared" si="25"/>
        <v>1288.2472666040867</v>
      </c>
      <c r="F144" s="44">
        <f t="shared" si="25"/>
        <v>1467.1889856354064</v>
      </c>
      <c r="G144" s="44">
        <f t="shared" si="25"/>
        <v>1352.823837155045</v>
      </c>
      <c r="H144" s="44">
        <f t="shared" si="25"/>
        <v>1425.9107388879984</v>
      </c>
    </row>
    <row r="145" spans="1:8" ht="15">
      <c r="A145" s="47" t="str">
        <f>HLOOKUP(INDICE!$F$2,Nombres!$C$3:$D$636,58,FALSE)</f>
        <v>Total assets / Liabilities and equity</v>
      </c>
      <c r="B145" s="47">
        <v>76607.18987776889</v>
      </c>
      <c r="C145" s="47">
        <v>72755.84022101642</v>
      </c>
      <c r="D145" s="47">
        <v>73135.47341115435</v>
      </c>
      <c r="E145" s="47">
        <v>74887.07241809466</v>
      </c>
      <c r="F145" s="53">
        <v>79854.61966571245</v>
      </c>
      <c r="G145" s="53">
        <v>78018.26698832482</v>
      </c>
      <c r="H145" s="53">
        <v>81316.06508207018</v>
      </c>
    </row>
    <row r="146" spans="1:8" ht="15">
      <c r="A146" s="43" t="str">
        <f>HLOOKUP(INDICE!$F$2,Nombres!$C$3:$D$636,59,FALSE)</f>
        <v>Financial liabilities held for trading and designated at fair value through profit or loss</v>
      </c>
      <c r="B146" s="60">
        <v>370.71862980243344</v>
      </c>
      <c r="C146" s="60">
        <v>341.6519754867169</v>
      </c>
      <c r="D146" s="60">
        <v>371.210040436408</v>
      </c>
      <c r="E146" s="68">
        <v>359.35224986193015</v>
      </c>
      <c r="F146" s="44">
        <v>323.0143994878725</v>
      </c>
      <c r="G146" s="44">
        <v>407.39968782661515</v>
      </c>
      <c r="H146" s="44">
        <v>490.97261831840683</v>
      </c>
    </row>
    <row r="147" spans="1:8" ht="15">
      <c r="A147" s="43" t="str">
        <f>HLOOKUP(INDICE!$F$2,Nombres!$C$3:$D$636,60,FALSE)</f>
        <v>Deposits from central banks and credit institutions</v>
      </c>
      <c r="B147" s="60">
        <v>10686.868807401486</v>
      </c>
      <c r="C147" s="60">
        <v>10568.193786203265</v>
      </c>
      <c r="D147" s="60">
        <v>6954.024567025254</v>
      </c>
      <c r="E147" s="68">
        <v>7216.759936198234</v>
      </c>
      <c r="F147" s="44">
        <v>7776.235442840931</v>
      </c>
      <c r="G147" s="44">
        <v>8361.792008145629</v>
      </c>
      <c r="H147" s="44">
        <v>8925.478010495395</v>
      </c>
    </row>
    <row r="148" spans="1:8" ht="15">
      <c r="A148" s="43" t="str">
        <f>HLOOKUP(INDICE!$F$2,Nombres!$C$3:$D$636,61,FALSE)</f>
        <v>Deposits from customers</v>
      </c>
      <c r="B148" s="60">
        <v>47772.12430744326</v>
      </c>
      <c r="C148" s="60">
        <v>46039.43341651975</v>
      </c>
      <c r="D148" s="60">
        <v>49619.67269398032</v>
      </c>
      <c r="E148" s="68">
        <v>49707.34994801623</v>
      </c>
      <c r="F148" s="44">
        <v>53557.57367609086</v>
      </c>
      <c r="G148" s="44">
        <v>51649.82468303399</v>
      </c>
      <c r="H148" s="44">
        <v>53841.85950961261</v>
      </c>
    </row>
    <row r="149" spans="1:8" ht="15">
      <c r="A149" s="43" t="str">
        <f>HLOOKUP(INDICE!$F$2,Nombres!$C$3:$D$636,62,FALSE)</f>
        <v>Debt certificates</v>
      </c>
      <c r="B149" s="44">
        <v>6887.673074551827</v>
      </c>
      <c r="C149" s="44">
        <v>5425.826712762629</v>
      </c>
      <c r="D149" s="44">
        <v>5554.276340886549</v>
      </c>
      <c r="E149" s="45">
        <v>5687.985416739081</v>
      </c>
      <c r="F149" s="44">
        <v>5643.988525689772</v>
      </c>
      <c r="G149" s="44">
        <v>5225.024608366891</v>
      </c>
      <c r="H149" s="44">
        <v>5487.613383932547</v>
      </c>
    </row>
    <row r="150" spans="1:8" ht="15">
      <c r="A150" s="43" t="str">
        <f>HLOOKUP(INDICE!$F$2,Nombres!$C$3:$D$636,63,FALSE)</f>
        <v>Other liabilities</v>
      </c>
      <c r="B150" s="60">
        <f>+B145-B146-B147-B148-B149-B151</f>
        <v>8632.653405287794</v>
      </c>
      <c r="C150" s="60">
        <f aca="true" t="shared" si="26" ref="C150:H150">+C145-C146-C147-C148-C149-C151</f>
        <v>8144.525646602736</v>
      </c>
      <c r="D150" s="60">
        <f t="shared" si="26"/>
        <v>8319.548747005429</v>
      </c>
      <c r="E150" s="68">
        <f t="shared" si="26"/>
        <v>9522.088608140515</v>
      </c>
      <c r="F150" s="44">
        <f t="shared" si="26"/>
        <v>10290.050760860508</v>
      </c>
      <c r="G150" s="44">
        <f t="shared" si="26"/>
        <v>10072.982490130806</v>
      </c>
      <c r="H150" s="44">
        <f t="shared" si="26"/>
        <v>10219.49157744752</v>
      </c>
    </row>
    <row r="151" spans="1:8" ht="15">
      <c r="A151" s="43" t="str">
        <f>HLOOKUP(INDICE!$F$2,Nombres!$C$3:$D$636,64,FALSE)</f>
        <v>Economic capital allocated</v>
      </c>
      <c r="B151" s="44">
        <v>2257.151653282103</v>
      </c>
      <c r="C151" s="44">
        <v>2236.208683441323</v>
      </c>
      <c r="D151" s="44">
        <v>2316.741021820402</v>
      </c>
      <c r="E151" s="45">
        <v>2393.5362591386756</v>
      </c>
      <c r="F151" s="44">
        <v>2263.756860742506</v>
      </c>
      <c r="G151" s="44">
        <v>2301.243510820885</v>
      </c>
      <c r="H151" s="44">
        <v>2350.6499822637024</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HLOOKUP(INDICE!$F$2,Nombres!$C$3:$D$636,79,FALSE)</f>
        <v>(Million Peruvian soles)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52471.788129820336</v>
      </c>
      <c r="C157" s="44">
        <v>53010.20394650883</v>
      </c>
      <c r="D157" s="44">
        <v>53923.32370138095</v>
      </c>
      <c r="E157" s="45">
        <v>54176.89664982794</v>
      </c>
      <c r="F157" s="44">
        <v>55923.48096699282</v>
      </c>
      <c r="G157" s="44">
        <v>56366.68816246592</v>
      </c>
      <c r="H157" s="44">
        <v>58178.323085402066</v>
      </c>
    </row>
    <row r="158" spans="1:8" ht="15.75" customHeight="1">
      <c r="A158" s="43" t="str">
        <f>HLOOKUP(INDICE!$F$2,Nombres!$C$3:$D$636,67,FALSE)</f>
        <v>Customer deposits under management (*)</v>
      </c>
      <c r="B158" s="44">
        <v>46755.335923813385</v>
      </c>
      <c r="C158" s="44">
        <v>46039.436683761865</v>
      </c>
      <c r="D158" s="44">
        <v>49616.09471675441</v>
      </c>
      <c r="E158" s="45">
        <v>49599.47854182839</v>
      </c>
      <c r="F158" s="44">
        <v>53512.053352920375</v>
      </c>
      <c r="G158" s="44">
        <v>51645.68081957402</v>
      </c>
      <c r="H158" s="44">
        <v>53841.845190844615</v>
      </c>
    </row>
    <row r="159" spans="1:8" ht="15.75" customHeight="1">
      <c r="A159" s="43" t="str">
        <f>HLOOKUP(INDICE!$F$2,Nombres!$C$3:$D$636,68,FALSE)</f>
        <v>Mutual funds</v>
      </c>
      <c r="B159" s="44">
        <v>6436.921424014256</v>
      </c>
      <c r="C159" s="44">
        <v>6456.850193999892</v>
      </c>
      <c r="D159" s="44">
        <v>6476.113696040285</v>
      </c>
      <c r="E159" s="45">
        <v>6433.133084035268</v>
      </c>
      <c r="F159" s="44">
        <v>6390.001418996785</v>
      </c>
      <c r="G159" s="44">
        <v>6306.135742044443</v>
      </c>
      <c r="H159" s="44">
        <v>6632.866528045174</v>
      </c>
    </row>
    <row r="160" spans="1:8" ht="15.75" customHeight="1">
      <c r="A160" s="43" t="str">
        <f>HLOOKUP(INDICE!$F$2,Nombres!$C$3:$D$636,69,FALSE)</f>
        <v>Pension funds</v>
      </c>
      <c r="B160" s="44" t="s">
        <v>407</v>
      </c>
      <c r="C160" s="44" t="s">
        <v>407</v>
      </c>
      <c r="D160" s="44" t="s">
        <v>407</v>
      </c>
      <c r="E160" s="45" t="s">
        <v>407</v>
      </c>
      <c r="F160" s="44" t="s">
        <v>407</v>
      </c>
      <c r="G160" s="44" t="s">
        <v>407</v>
      </c>
      <c r="H160" s="44" t="s">
        <v>407</v>
      </c>
    </row>
    <row r="161" spans="1:8" ht="15">
      <c r="A161" s="43" t="str">
        <f>HLOOKUP(INDICE!$F$2,Nombres!$C$3:$D$636,70,FALSE)</f>
        <v>Other off balance-sheet funds</v>
      </c>
      <c r="B161" s="44" t="s">
        <v>407</v>
      </c>
      <c r="C161" s="44" t="s">
        <v>407</v>
      </c>
      <c r="D161" s="44" t="s">
        <v>407</v>
      </c>
      <c r="E161" s="45" t="s">
        <v>407</v>
      </c>
      <c r="F161" s="44" t="s">
        <v>407</v>
      </c>
      <c r="G161" s="44" t="s">
        <v>407</v>
      </c>
      <c r="H161" s="44" t="s">
        <v>407</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88" t="str">
        <f>HLOOKUP(INDICE!$F$2,Nombres!$C$3:$D$636,18,FALSE)</f>
        <v>Rest of Eurasia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89"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90" t="str">
        <f>+España!B7</f>
        <v>1Q</v>
      </c>
      <c r="C7" s="90" t="str">
        <f>+España!C7</f>
        <v>2Q</v>
      </c>
      <c r="D7" s="90" t="str">
        <f>+España!D7</f>
        <v>3Q</v>
      </c>
      <c r="E7" s="91" t="str">
        <f>+España!E7</f>
        <v>4Q</v>
      </c>
      <c r="F7" s="90" t="str">
        <f>+España!F7</f>
        <v>1Q</v>
      </c>
      <c r="G7" s="90" t="str">
        <f>+España!G7</f>
        <v>2Q</v>
      </c>
      <c r="H7" s="90" t="str">
        <f>+España!H7</f>
        <v>3Q</v>
      </c>
    </row>
    <row r="8" spans="1:13" ht="15">
      <c r="A8" s="41" t="str">
        <f>HLOOKUP(INDICE!$F$2,Nombres!$C$3:$D$636,33,FALSE)</f>
        <v>Net interest income</v>
      </c>
      <c r="B8" s="41">
        <v>42.81724158</v>
      </c>
      <c r="C8" s="41">
        <v>39.750370679999996</v>
      </c>
      <c r="D8" s="41">
        <v>43.01360229</v>
      </c>
      <c r="E8" s="42">
        <v>49.39491649</v>
      </c>
      <c r="F8" s="52">
        <v>39.408251130000004</v>
      </c>
      <c r="G8" s="251">
        <v>45.09776373</v>
      </c>
      <c r="H8" s="251">
        <v>45.56864501</v>
      </c>
      <c r="I8" s="92"/>
      <c r="J8" s="92"/>
      <c r="K8" s="92"/>
      <c r="L8" s="92"/>
      <c r="M8" s="92"/>
    </row>
    <row r="9" spans="1:8" ht="15">
      <c r="A9" s="93" t="str">
        <f>HLOOKUP(INDICE!$F$2,Nombres!$C$3:$D$636,34,FALSE)</f>
        <v>Net fees and commissions</v>
      </c>
      <c r="B9" s="44">
        <v>38.68201741</v>
      </c>
      <c r="C9" s="44">
        <v>40.50558416</v>
      </c>
      <c r="D9" s="44">
        <v>34.88056531</v>
      </c>
      <c r="E9" s="45">
        <v>24.043298659999998</v>
      </c>
      <c r="F9" s="44">
        <v>35.747445</v>
      </c>
      <c r="G9" s="44">
        <v>33.35125234</v>
      </c>
      <c r="H9" s="44">
        <v>36.30419567</v>
      </c>
    </row>
    <row r="10" spans="1:8" ht="15">
      <c r="A10" s="93" t="str">
        <f>HLOOKUP(INDICE!$F$2,Nombres!$C$3:$D$636,35,FALSE)</f>
        <v>Net trading income</v>
      </c>
      <c r="B10" s="44">
        <v>43.64172064</v>
      </c>
      <c r="C10" s="44">
        <v>11.216789740000003</v>
      </c>
      <c r="D10" s="44">
        <v>22.395310429999995</v>
      </c>
      <c r="E10" s="45">
        <v>24.036646690000005</v>
      </c>
      <c r="F10" s="44">
        <v>26.63115649</v>
      </c>
      <c r="G10" s="44">
        <v>33.84339836000001</v>
      </c>
      <c r="H10" s="44">
        <v>33.34076467</v>
      </c>
    </row>
    <row r="11" spans="1:8" ht="15">
      <c r="A11" s="93" t="str">
        <f>HLOOKUP(INDICE!$F$2,Nombres!$C$3:$D$636,36,FALSE)</f>
        <v>Other operating income and expenses</v>
      </c>
      <c r="B11" s="44">
        <v>0.649918</v>
      </c>
      <c r="C11" s="44">
        <v>-0.674153</v>
      </c>
      <c r="D11" s="44">
        <v>0.8281449999999998</v>
      </c>
      <c r="E11" s="45">
        <v>-0.8066199999999994</v>
      </c>
      <c r="F11" s="44">
        <v>1.569802</v>
      </c>
      <c r="G11" s="44">
        <v>4.0024681300000005</v>
      </c>
      <c r="H11" s="44">
        <v>3.32639291</v>
      </c>
    </row>
    <row r="12" spans="1:8" ht="15">
      <c r="A12" s="41" t="str">
        <f>HLOOKUP(INDICE!$F$2,Nombres!$C$3:$D$636,37,FALSE)</f>
        <v>Gross income</v>
      </c>
      <c r="B12" s="41">
        <f aca="true" t="shared" si="0" ref="B12:H12">+SUM(B8:B11)</f>
        <v>125.79089763</v>
      </c>
      <c r="C12" s="41">
        <f t="shared" si="0"/>
        <v>90.79859157999998</v>
      </c>
      <c r="D12" s="41">
        <f t="shared" si="0"/>
        <v>101.11762303</v>
      </c>
      <c r="E12" s="42">
        <f t="shared" si="0"/>
        <v>96.66824184</v>
      </c>
      <c r="F12" s="52">
        <f t="shared" si="0"/>
        <v>103.35665461999999</v>
      </c>
      <c r="G12" s="52">
        <f t="shared" si="0"/>
        <v>116.29488256</v>
      </c>
      <c r="H12" s="52">
        <f t="shared" si="0"/>
        <v>118.53999825999999</v>
      </c>
    </row>
    <row r="13" spans="1:8" ht="15">
      <c r="A13" s="93" t="str">
        <f>HLOOKUP(INDICE!$F$2,Nombres!$C$3:$D$636,38,FALSE)</f>
        <v>Operating expenses</v>
      </c>
      <c r="B13" s="44">
        <v>-71.39237978</v>
      </c>
      <c r="C13" s="44">
        <v>-68.42663927000001</v>
      </c>
      <c r="D13" s="44">
        <v>-74.01813197999999</v>
      </c>
      <c r="E13" s="45">
        <v>-73.15401022</v>
      </c>
      <c r="F13" s="44">
        <v>-69.54640968999999</v>
      </c>
      <c r="G13" s="44">
        <v>-72.07635099000001</v>
      </c>
      <c r="H13" s="44">
        <v>-70.83211189000001</v>
      </c>
    </row>
    <row r="14" spans="1:8" ht="15">
      <c r="A14" s="93" t="str">
        <f>HLOOKUP(INDICE!$F$2,Nombres!$C$3:$D$636,39,FALSE)</f>
        <v>  Administration expenses</v>
      </c>
      <c r="B14" s="44">
        <v>-69.87384978</v>
      </c>
      <c r="C14" s="44">
        <v>-66.93558927000001</v>
      </c>
      <c r="D14" s="44">
        <v>-72.51494398</v>
      </c>
      <c r="E14" s="45">
        <v>-71.51994121999999</v>
      </c>
      <c r="F14" s="44">
        <v>-65.21433569</v>
      </c>
      <c r="G14" s="44">
        <v>-67.86313399</v>
      </c>
      <c r="H14" s="44">
        <v>-66.21952189000001</v>
      </c>
    </row>
    <row r="15" spans="1:8" ht="15">
      <c r="A15" s="94" t="str">
        <f>HLOOKUP(INDICE!$F$2,Nombres!$C$3:$D$636,40,FALSE)</f>
        <v>  Personnel expenses</v>
      </c>
      <c r="B15" s="44">
        <v>-35.247336000000004</v>
      </c>
      <c r="C15" s="44">
        <v>-31.405486</v>
      </c>
      <c r="D15" s="44">
        <v>-34.43664317999999</v>
      </c>
      <c r="E15" s="45">
        <v>-35.284443</v>
      </c>
      <c r="F15" s="44">
        <v>-33.904471959999995</v>
      </c>
      <c r="G15" s="44">
        <v>-34.92729837</v>
      </c>
      <c r="H15" s="44">
        <v>-34.14013417</v>
      </c>
    </row>
    <row r="16" spans="1:8" ht="15">
      <c r="A16" s="94" t="str">
        <f>HLOOKUP(INDICE!$F$2,Nombres!$C$3:$D$636,41,FALSE)</f>
        <v>  General and administrative expenses</v>
      </c>
      <c r="B16" s="44">
        <v>-34.62651378</v>
      </c>
      <c r="C16" s="44">
        <v>-35.53010327</v>
      </c>
      <c r="D16" s="44">
        <v>-38.0783008</v>
      </c>
      <c r="E16" s="45">
        <v>-36.23549822</v>
      </c>
      <c r="F16" s="44">
        <v>-31.309863729999996</v>
      </c>
      <c r="G16" s="44">
        <v>-32.935835620000006</v>
      </c>
      <c r="H16" s="44">
        <v>-32.07938772</v>
      </c>
    </row>
    <row r="17" spans="1:8" ht="15">
      <c r="A17" s="93" t="str">
        <f>HLOOKUP(INDICE!$F$2,Nombres!$C$3:$D$636,42,FALSE)</f>
        <v>  Depreciation</v>
      </c>
      <c r="B17" s="44">
        <v>-1.51853</v>
      </c>
      <c r="C17" s="44">
        <v>-1.49105</v>
      </c>
      <c r="D17" s="44">
        <v>-1.5031880000000002</v>
      </c>
      <c r="E17" s="45">
        <v>-1.634069</v>
      </c>
      <c r="F17" s="44">
        <v>-4.332074</v>
      </c>
      <c r="G17" s="44">
        <v>-4.213217</v>
      </c>
      <c r="H17" s="44">
        <v>-4.61259</v>
      </c>
    </row>
    <row r="18" spans="1:8" ht="15">
      <c r="A18" s="41" t="str">
        <f>HLOOKUP(INDICE!$F$2,Nombres!$C$3:$D$636,43,FALSE)</f>
        <v>Operating income</v>
      </c>
      <c r="B18" s="41">
        <f aca="true" t="shared" si="1" ref="B18:H18">+B12+B13</f>
        <v>54.398517850000005</v>
      </c>
      <c r="C18" s="41">
        <f t="shared" si="1"/>
        <v>22.37195230999997</v>
      </c>
      <c r="D18" s="41">
        <f t="shared" si="1"/>
        <v>27.09949105000001</v>
      </c>
      <c r="E18" s="42">
        <f t="shared" si="1"/>
        <v>23.51423161999999</v>
      </c>
      <c r="F18" s="52">
        <f t="shared" si="1"/>
        <v>33.810244929999996</v>
      </c>
      <c r="G18" s="52">
        <f t="shared" si="1"/>
        <v>44.218531569999996</v>
      </c>
      <c r="H18" s="52">
        <f t="shared" si="1"/>
        <v>47.70788636999998</v>
      </c>
    </row>
    <row r="19" spans="1:8" ht="15">
      <c r="A19" s="93" t="str">
        <f>HLOOKUP(INDICE!$F$2,Nombres!$C$3:$D$636,44,FALSE)</f>
        <v>Impaiment on financial assets not measured at fair value through profit or loss</v>
      </c>
      <c r="B19" s="44">
        <v>16.957969000000002</v>
      </c>
      <c r="C19" s="44">
        <v>-3.1850303299999974</v>
      </c>
      <c r="D19" s="44">
        <v>-22.597726220000006</v>
      </c>
      <c r="E19" s="45">
        <v>32.744339000000004</v>
      </c>
      <c r="F19" s="44">
        <v>-10.265891</v>
      </c>
      <c r="G19" s="44">
        <v>-0.4484450000000022</v>
      </c>
      <c r="H19" s="44">
        <v>4.197739</v>
      </c>
    </row>
    <row r="20" spans="1:8" ht="15">
      <c r="A20" s="93" t="str">
        <f>HLOOKUP(INDICE!$F$2,Nombres!$C$3:$D$636,45,FALSE)</f>
        <v>Provisions or reversal of provisions and other results</v>
      </c>
      <c r="B20" s="44">
        <v>-0.6680771700000008</v>
      </c>
      <c r="C20" s="44">
        <v>2.98940701</v>
      </c>
      <c r="D20" s="44">
        <v>1.0491449999999996</v>
      </c>
      <c r="E20" s="45">
        <v>-6.806991020000001</v>
      </c>
      <c r="F20" s="44">
        <v>-0.6760230900000003</v>
      </c>
      <c r="G20" s="44">
        <v>2.035707</v>
      </c>
      <c r="H20" s="44">
        <v>8.524508</v>
      </c>
    </row>
    <row r="21" spans="1:8" ht="15">
      <c r="A21" s="95" t="str">
        <f>HLOOKUP(INDICE!$F$2,Nombres!$C$3:$D$636,46,FALSE)</f>
        <v>Profit/(loss) before tax</v>
      </c>
      <c r="B21" s="41">
        <f aca="true" t="shared" si="2" ref="B21:H21">+B18+B19+B20</f>
        <v>70.68840968</v>
      </c>
      <c r="C21" s="41">
        <f t="shared" si="2"/>
        <v>22.176328989999973</v>
      </c>
      <c r="D21" s="41">
        <f t="shared" si="2"/>
        <v>5.5509098300000055</v>
      </c>
      <c r="E21" s="42">
        <f t="shared" si="2"/>
        <v>49.451579599999995</v>
      </c>
      <c r="F21" s="52">
        <f t="shared" si="2"/>
        <v>22.868330839999995</v>
      </c>
      <c r="G21" s="52">
        <f t="shared" si="2"/>
        <v>45.80579357</v>
      </c>
      <c r="H21" s="52">
        <f t="shared" si="2"/>
        <v>60.43013336999998</v>
      </c>
    </row>
    <row r="22" spans="1:8" ht="15">
      <c r="A22" s="43" t="str">
        <f>HLOOKUP(INDICE!$F$2,Nombres!$C$3:$D$636,47,FALSE)</f>
        <v>Income tax</v>
      </c>
      <c r="B22" s="44">
        <v>-22.279022899999998</v>
      </c>
      <c r="C22" s="44">
        <v>-10.5606108</v>
      </c>
      <c r="D22" s="44">
        <v>-5.009750949999998</v>
      </c>
      <c r="E22" s="45">
        <v>-14.069683950000002</v>
      </c>
      <c r="F22" s="44">
        <v>-6.850021740000002</v>
      </c>
      <c r="G22" s="44">
        <v>-6.54581832</v>
      </c>
      <c r="H22" s="44">
        <v>-13.12773212</v>
      </c>
    </row>
    <row r="23" spans="1:8" ht="15">
      <c r="A23" s="95" t="str">
        <f>HLOOKUP(INDICE!$F$2,Nombres!$C$3:$D$636,48,FALSE)</f>
        <v>Profit/(loss) for the year</v>
      </c>
      <c r="B23" s="41">
        <f aca="true" t="shared" si="3" ref="B23:H23">+B21+B22</f>
        <v>48.409386780000006</v>
      </c>
      <c r="C23" s="41">
        <f t="shared" si="3"/>
        <v>11.615718189999974</v>
      </c>
      <c r="D23" s="41">
        <f t="shared" si="3"/>
        <v>0.5411588800000073</v>
      </c>
      <c r="E23" s="42">
        <f t="shared" si="3"/>
        <v>35.38189564999999</v>
      </c>
      <c r="F23" s="52">
        <f t="shared" si="3"/>
        <v>16.018309099999993</v>
      </c>
      <c r="G23" s="52">
        <f t="shared" si="3"/>
        <v>39.25997525</v>
      </c>
      <c r="H23" s="52">
        <f t="shared" si="3"/>
        <v>47.30240124999998</v>
      </c>
    </row>
    <row r="24" spans="1:8" ht="15">
      <c r="A24" s="93" t="str">
        <f>HLOOKUP(INDICE!$F$2,Nombres!$C$3:$D$636,49,FALSE)</f>
        <v>Non-controlling interests</v>
      </c>
      <c r="B24" s="44" t="s">
        <v>407</v>
      </c>
      <c r="C24" s="44" t="s">
        <v>407</v>
      </c>
      <c r="D24" s="44" t="s">
        <v>407</v>
      </c>
      <c r="E24" s="45" t="s">
        <v>407</v>
      </c>
      <c r="F24" s="44" t="s">
        <v>407</v>
      </c>
      <c r="G24" s="44" t="s">
        <v>407</v>
      </c>
      <c r="H24" s="44" t="s">
        <v>407</v>
      </c>
    </row>
    <row r="25" spans="1:8" ht="15">
      <c r="A25" s="96" t="str">
        <f>HLOOKUP(INDICE!$F$2,Nombres!$C$3:$D$636,50,FALSE)</f>
        <v>Net attributable profit</v>
      </c>
      <c r="B25" s="47">
        <f aca="true" t="shared" si="4" ref="B25:H25">+B23+B24</f>
        <v>48.409386780000006</v>
      </c>
      <c r="C25" s="47">
        <f t="shared" si="4"/>
        <v>11.615718189999974</v>
      </c>
      <c r="D25" s="47">
        <f t="shared" si="4"/>
        <v>0.5411588800000073</v>
      </c>
      <c r="E25" s="47">
        <f t="shared" si="4"/>
        <v>35.38189564999999</v>
      </c>
      <c r="F25" s="53">
        <f t="shared" si="4"/>
        <v>16.018309099999993</v>
      </c>
      <c r="G25" s="53">
        <f t="shared" si="4"/>
        <v>39.25997525</v>
      </c>
      <c r="H25" s="53">
        <f t="shared" si="4"/>
        <v>47.30240124999998</v>
      </c>
    </row>
    <row r="26" spans="1:8" ht="15">
      <c r="A26" s="97" t="s">
        <v>5</v>
      </c>
      <c r="B26" s="66">
        <v>0</v>
      </c>
      <c r="C26" s="66">
        <v>-2.4868995751603507E-14</v>
      </c>
      <c r="D26" s="66">
        <v>1.4210854715202004E-14</v>
      </c>
      <c r="E26" s="66">
        <v>0</v>
      </c>
      <c r="F26" s="66">
        <v>0</v>
      </c>
      <c r="G26" s="66">
        <v>0</v>
      </c>
      <c r="H26" s="66">
        <v>0</v>
      </c>
    </row>
    <row r="27" spans="1:8" ht="15">
      <c r="A27" s="41"/>
      <c r="B27" s="41"/>
      <c r="C27" s="41"/>
      <c r="D27" s="41"/>
      <c r="E27" s="41"/>
      <c r="F27" s="41"/>
      <c r="G27" s="41"/>
      <c r="H27" s="41"/>
    </row>
    <row r="28" spans="1:8" ht="18">
      <c r="A28" s="98" t="str">
        <f>HLOOKUP(INDICE!$F$2,Nombres!$C$3:$D$636,51,FALSE)</f>
        <v>Balance sheets</v>
      </c>
      <c r="B28" s="34"/>
      <c r="C28" s="34"/>
      <c r="D28" s="34"/>
      <c r="E28" s="34"/>
      <c r="F28" s="34"/>
      <c r="G28" s="34"/>
      <c r="H28" s="34"/>
    </row>
    <row r="29" spans="1:8" ht="15">
      <c r="A29" s="89"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93" t="str">
        <f>HLOOKUP(INDICE!$F$2,Nombres!$C$3:$D$636,52,FALSE)</f>
        <v>Cash, cash balances at central banks and other demand deposits</v>
      </c>
      <c r="B31" s="44">
        <v>799.678778</v>
      </c>
      <c r="C31" s="44">
        <v>883.6198979999999</v>
      </c>
      <c r="D31" s="44">
        <v>700.000595</v>
      </c>
      <c r="E31" s="45">
        <v>238.11617499999974</v>
      </c>
      <c r="F31" s="44">
        <v>211.73616199999879</v>
      </c>
      <c r="G31" s="44">
        <v>216.7411670000005</v>
      </c>
      <c r="H31" s="44">
        <v>228.42340199999816</v>
      </c>
    </row>
    <row r="32" spans="1:8" ht="15">
      <c r="A32" s="93" t="str">
        <f>HLOOKUP(INDICE!$F$2,Nombres!$C$3:$D$636,53,FALSE)</f>
        <v>Financial assets designated at fair value </v>
      </c>
      <c r="B32" s="60">
        <v>534.62989439</v>
      </c>
      <c r="C32" s="60">
        <v>539.13910139</v>
      </c>
      <c r="D32" s="60">
        <v>530.79893939</v>
      </c>
      <c r="E32" s="68">
        <v>503.87899338999995</v>
      </c>
      <c r="F32" s="44">
        <v>503.46847339</v>
      </c>
      <c r="G32" s="44">
        <v>510.66065839</v>
      </c>
      <c r="H32" s="44">
        <v>494.38904939</v>
      </c>
    </row>
    <row r="33" spans="1:8" ht="15">
      <c r="A33" s="43" t="str">
        <f>HLOOKUP(INDICE!$F$2,Nombres!$C$3:$D$636,54,FALSE)</f>
        <v>Financial assets at amortized cost</v>
      </c>
      <c r="B33" s="44">
        <v>16276.576688</v>
      </c>
      <c r="C33" s="44">
        <v>17986.04602</v>
      </c>
      <c r="D33" s="44">
        <v>18002.54115</v>
      </c>
      <c r="E33" s="45">
        <v>17798.532266000002</v>
      </c>
      <c r="F33" s="44">
        <v>19520.186247999998</v>
      </c>
      <c r="G33" s="44">
        <v>19143.933511</v>
      </c>
      <c r="H33" s="44">
        <v>20649.832052</v>
      </c>
    </row>
    <row r="34" spans="1:8" ht="15">
      <c r="A34" s="93" t="str">
        <f>HLOOKUP(INDICE!$F$2,Nombres!$C$3:$D$636,55,FALSE)</f>
        <v>    of which loans and advances to customers</v>
      </c>
      <c r="B34" s="44">
        <v>15191.93686</v>
      </c>
      <c r="C34" s="44">
        <v>16669.065108</v>
      </c>
      <c r="D34" s="44">
        <v>16744.380509000002</v>
      </c>
      <c r="E34" s="45">
        <v>16598.090648</v>
      </c>
      <c r="F34" s="44">
        <v>18256.563024</v>
      </c>
      <c r="G34" s="44">
        <v>17552.015383</v>
      </c>
      <c r="H34" s="44">
        <v>18473.411791</v>
      </c>
    </row>
    <row r="35" spans="1:8" ht="15">
      <c r="A35" s="93" t="str">
        <f>HLOOKUP(INDICE!$F$2,Nombres!$C$3:$D$636,121,FALSE)</f>
        <v>Inter-area positions</v>
      </c>
      <c r="B35" s="44">
        <v>0</v>
      </c>
      <c r="C35" s="44">
        <v>0</v>
      </c>
      <c r="D35" s="44">
        <v>0</v>
      </c>
      <c r="E35" s="45">
        <v>0</v>
      </c>
      <c r="F35" s="44">
        <v>0</v>
      </c>
      <c r="G35" s="44">
        <v>0</v>
      </c>
      <c r="H35" s="44">
        <v>0</v>
      </c>
    </row>
    <row r="36" spans="1:8" ht="15">
      <c r="A36" s="43" t="str">
        <f>HLOOKUP(INDICE!$F$2,Nombres!$C$3:$D$636,56,FALSE)</f>
        <v>Tangible assets</v>
      </c>
      <c r="B36" s="44">
        <v>36.68383</v>
      </c>
      <c r="C36" s="44">
        <v>37.015909</v>
      </c>
      <c r="D36" s="44">
        <v>38.032818000000006</v>
      </c>
      <c r="E36" s="45">
        <v>39.498656000000004</v>
      </c>
      <c r="F36" s="44">
        <v>98.953173</v>
      </c>
      <c r="G36" s="44">
        <v>93.929644</v>
      </c>
      <c r="H36" s="44">
        <v>74.043794</v>
      </c>
    </row>
    <row r="37" spans="1:8" ht="15">
      <c r="A37" s="93" t="str">
        <f>HLOOKUP(INDICE!$F$2,Nombres!$C$3:$D$636,57,FALSE)</f>
        <v>Other assets</v>
      </c>
      <c r="B37" s="60">
        <f>+B38-B36-B33-B32-B31-B35</f>
        <v>344.06295809000176</v>
      </c>
      <c r="C37" s="60">
        <f aca="true" t="shared" si="5" ref="C37:H37">+C38-C36-C33-C32-C31</f>
        <v>379.8471900900006</v>
      </c>
      <c r="D37" s="60">
        <f t="shared" si="5"/>
        <v>319.85327208999684</v>
      </c>
      <c r="E37" s="68">
        <f t="shared" si="5"/>
        <v>254.26639908997842</v>
      </c>
      <c r="F37" s="44">
        <f t="shared" si="5"/>
        <v>247.21654700000897</v>
      </c>
      <c r="G37" s="44">
        <f t="shared" si="5"/>
        <v>243.55660200004317</v>
      </c>
      <c r="H37" s="44">
        <f t="shared" si="5"/>
        <v>239.45821700001963</v>
      </c>
    </row>
    <row r="38" spans="1:8" ht="15">
      <c r="A38" s="96" t="str">
        <f>HLOOKUP(INDICE!$F$2,Nombres!$C$3:$D$636,58,FALSE)</f>
        <v>Total assets / Liabilities and equity</v>
      </c>
      <c r="B38" s="47">
        <v>17991.632148480003</v>
      </c>
      <c r="C38" s="47">
        <v>19825.668118480004</v>
      </c>
      <c r="D38" s="47">
        <v>19591.226774479997</v>
      </c>
      <c r="E38" s="74">
        <v>18834.29248947998</v>
      </c>
      <c r="F38" s="47">
        <v>20581.560603390008</v>
      </c>
      <c r="G38" s="47">
        <v>20208.821582390043</v>
      </c>
      <c r="H38" s="47">
        <v>21686.14651439002</v>
      </c>
    </row>
    <row r="39" spans="1:8" ht="15">
      <c r="A39" s="93" t="str">
        <f>HLOOKUP(INDICE!$F$2,Nombres!$C$3:$D$636,59,FALSE)</f>
        <v>Financial liabilities held for trading and designated at fair value through profit or loss</v>
      </c>
      <c r="B39" s="60">
        <v>42.723014</v>
      </c>
      <c r="C39" s="60">
        <v>41.017928999999995</v>
      </c>
      <c r="D39" s="60">
        <v>38.99279700000001</v>
      </c>
      <c r="E39" s="68">
        <v>41.804061</v>
      </c>
      <c r="F39" s="44">
        <v>42.199785</v>
      </c>
      <c r="G39" s="44">
        <v>43.001981</v>
      </c>
      <c r="H39" s="44">
        <v>47.32370600000001</v>
      </c>
    </row>
    <row r="40" spans="1:8" ht="15">
      <c r="A40" s="93" t="str">
        <f>HLOOKUP(INDICE!$F$2,Nombres!$C$3:$D$636,60,FALSE)</f>
        <v>Deposits from central banks and credit institutions</v>
      </c>
      <c r="B40" s="60">
        <v>2894.4322380000003</v>
      </c>
      <c r="C40" s="60">
        <v>2623.980975</v>
      </c>
      <c r="D40" s="60">
        <v>2301.039484</v>
      </c>
      <c r="E40" s="68">
        <v>1270.9887899999999</v>
      </c>
      <c r="F40" s="44">
        <v>929.212117</v>
      </c>
      <c r="G40" s="44">
        <v>878.576317</v>
      </c>
      <c r="H40" s="44">
        <v>919.450964</v>
      </c>
    </row>
    <row r="41" spans="1:8" ht="15.75" customHeight="1">
      <c r="A41" s="93" t="str">
        <f>HLOOKUP(INDICE!$F$2,Nombres!$C$3:$D$636,61,FALSE)</f>
        <v>Deposits from customers</v>
      </c>
      <c r="B41" s="60">
        <v>5424.718789</v>
      </c>
      <c r="C41" s="60">
        <v>5232.805352</v>
      </c>
      <c r="D41" s="60">
        <v>5196.037892</v>
      </c>
      <c r="E41" s="68">
        <v>4876.247633</v>
      </c>
      <c r="F41" s="44">
        <v>5064.896457</v>
      </c>
      <c r="G41" s="44">
        <v>4294.219847</v>
      </c>
      <c r="H41" s="44">
        <v>4366.209579</v>
      </c>
    </row>
    <row r="42" spans="1:8" ht="15">
      <c r="A42" s="43" t="str">
        <f>HLOOKUP(INDICE!$F$2,Nombres!$C$3:$D$636,62,FALSE)</f>
        <v>Debt certificates</v>
      </c>
      <c r="B42" s="44">
        <v>220.70168180000002</v>
      </c>
      <c r="C42" s="44">
        <v>290.22616248</v>
      </c>
      <c r="D42" s="44">
        <v>265.97926782999997</v>
      </c>
      <c r="E42" s="45">
        <v>212.85098702</v>
      </c>
      <c r="F42" s="44">
        <v>196.51700347</v>
      </c>
      <c r="G42" s="44">
        <v>984.6449715699998</v>
      </c>
      <c r="H42" s="44">
        <v>622.1642723299999</v>
      </c>
    </row>
    <row r="43" spans="1:8" ht="15">
      <c r="A43" s="93" t="str">
        <f>HLOOKUP(INDICE!$F$2,Nombres!$C$3:$D$636,122,FALSE)</f>
        <v>Inter-area positions</v>
      </c>
      <c r="B43" s="44">
        <v>7255.640065300004</v>
      </c>
      <c r="C43" s="44">
        <v>9583.444649060004</v>
      </c>
      <c r="D43" s="44">
        <v>9884.274739460001</v>
      </c>
      <c r="E43" s="45">
        <v>11405.817995089981</v>
      </c>
      <c r="F43" s="44">
        <v>13219.99071670992</v>
      </c>
      <c r="G43" s="44">
        <v>12659.35004635001</v>
      </c>
      <c r="H43" s="44">
        <v>14466.254879359976</v>
      </c>
    </row>
    <row r="44" spans="1:8" ht="15">
      <c r="A44" s="43" t="str">
        <f>HLOOKUP(INDICE!$F$2,Nombres!$C$3:$D$636,63,FALSE)</f>
        <v>Other liabilities</v>
      </c>
      <c r="B44" s="60">
        <f aca="true" t="shared" si="6" ref="B44:H44">+B38-B39-B40-B41-B42-B45-B43</f>
        <v>1270.3941303800002</v>
      </c>
      <c r="C44" s="60">
        <f t="shared" si="6"/>
        <v>1267.8456509400003</v>
      </c>
      <c r="D44" s="60">
        <f t="shared" si="6"/>
        <v>1180.9917060099979</v>
      </c>
      <c r="E44" s="68">
        <f t="shared" si="6"/>
        <v>269.87540575000276</v>
      </c>
      <c r="F44" s="60">
        <f t="shared" si="6"/>
        <v>342.5096942100881</v>
      </c>
      <c r="G44" s="60">
        <f t="shared" si="6"/>
        <v>532.282719470033</v>
      </c>
      <c r="H44" s="60">
        <f t="shared" si="6"/>
        <v>420.29418541004634</v>
      </c>
    </row>
    <row r="45" spans="1:8" ht="15">
      <c r="A45" s="93" t="str">
        <f>HLOOKUP(INDICE!$F$2,Nombres!$C$3:$D$636,64,FALSE)</f>
        <v>Economic capital allocated</v>
      </c>
      <c r="B45" s="44">
        <v>883.0222300000003</v>
      </c>
      <c r="C45" s="44">
        <v>786.3473999999997</v>
      </c>
      <c r="D45" s="44">
        <v>723.9108881799993</v>
      </c>
      <c r="E45" s="45">
        <v>756.7076176199998</v>
      </c>
      <c r="F45" s="44">
        <v>786.2348299999999</v>
      </c>
      <c r="G45" s="44">
        <v>816.7456999999999</v>
      </c>
      <c r="H45" s="44">
        <v>844.4489282899999</v>
      </c>
    </row>
    <row r="46" spans="1:8" ht="15">
      <c r="A46" s="65"/>
      <c r="B46" s="60"/>
      <c r="C46" s="60"/>
      <c r="D46" s="60"/>
      <c r="E46" s="60"/>
      <c r="F46" s="44"/>
      <c r="G46" s="44"/>
      <c r="H46" s="44"/>
    </row>
    <row r="47" spans="1:8" ht="15">
      <c r="A47" s="43"/>
      <c r="B47" s="60"/>
      <c r="C47" s="60"/>
      <c r="D47" s="60"/>
      <c r="E47" s="60"/>
      <c r="F47" s="44"/>
      <c r="G47" s="44"/>
      <c r="H47" s="44"/>
    </row>
    <row r="48" spans="1:8" ht="18">
      <c r="A48" s="98" t="str">
        <f>HLOOKUP(INDICE!$F$2,Nombres!$C$3:$D$636,65,FALSE)</f>
        <v>Relevant business indicators</v>
      </c>
      <c r="B48" s="34"/>
      <c r="C48" s="34"/>
      <c r="D48" s="34"/>
      <c r="E48" s="34"/>
      <c r="F48" s="72"/>
      <c r="G48" s="72"/>
      <c r="H48" s="72"/>
    </row>
    <row r="49" spans="1:8" ht="15">
      <c r="A49" s="89" t="str">
        <f>HLOOKUP(INDICE!$F$2,Nombres!$C$3:$D$636,32,FALSE)</f>
        <v>(Million euros)</v>
      </c>
      <c r="B49" s="30"/>
      <c r="C49" s="30"/>
      <c r="D49" s="30"/>
      <c r="E49" s="30"/>
      <c r="F49" s="73"/>
      <c r="G49" s="44"/>
      <c r="H49" s="44"/>
    </row>
    <row r="50" spans="1:8" ht="15.75">
      <c r="A50" s="30"/>
      <c r="B50" s="55">
        <f aca="true" t="shared" si="7" ref="B50:H50">+B$30</f>
        <v>43190</v>
      </c>
      <c r="C50" s="55">
        <f t="shared" si="7"/>
        <v>43281</v>
      </c>
      <c r="D50" s="55">
        <f t="shared" si="7"/>
        <v>43373</v>
      </c>
      <c r="E50" s="71">
        <f t="shared" si="7"/>
        <v>43465</v>
      </c>
      <c r="F50" s="55">
        <f t="shared" si="7"/>
        <v>43555</v>
      </c>
      <c r="G50" s="55">
        <f t="shared" si="7"/>
        <v>43646</v>
      </c>
      <c r="H50" s="55">
        <f t="shared" si="7"/>
        <v>43738</v>
      </c>
    </row>
    <row r="51" spans="1:8" ht="15">
      <c r="A51" s="93" t="str">
        <f>HLOOKUP(INDICE!$F$2,Nombres!$C$3:$D$636,66,FALSE)</f>
        <v>Loans and advances to customers (gross) (*)</v>
      </c>
      <c r="B51" s="44">
        <v>15573.178552</v>
      </c>
      <c r="C51" s="44">
        <v>17016.30935</v>
      </c>
      <c r="D51" s="44">
        <v>17108.275835</v>
      </c>
      <c r="E51" s="45">
        <v>16936.650432</v>
      </c>
      <c r="F51" s="44">
        <v>18600.744844999997</v>
      </c>
      <c r="G51" s="44">
        <v>17889.058240000002</v>
      </c>
      <c r="H51" s="44">
        <v>18810.17098</v>
      </c>
    </row>
    <row r="52" spans="1:8" ht="15">
      <c r="A52" s="93" t="str">
        <f>HLOOKUP(INDICE!$F$2,Nombres!$C$3:$D$636,67,FALSE)</f>
        <v>Customer deposits under management (*)</v>
      </c>
      <c r="B52" s="44">
        <v>5424.718789</v>
      </c>
      <c r="C52" s="44">
        <v>5232.805352000001</v>
      </c>
      <c r="D52" s="44">
        <v>5196.037891999999</v>
      </c>
      <c r="E52" s="45">
        <v>4876.247633</v>
      </c>
      <c r="F52" s="44">
        <v>5064.896457</v>
      </c>
      <c r="G52" s="44">
        <v>4294.219847</v>
      </c>
      <c r="H52" s="44">
        <v>4366.209579</v>
      </c>
    </row>
    <row r="53" spans="1:8" ht="15">
      <c r="A53" s="43" t="str">
        <f>HLOOKUP(INDICE!$F$2,Nombres!$C$3:$D$636,68,FALSE)</f>
        <v>Mutual funds</v>
      </c>
      <c r="B53" s="44">
        <v>0.013577</v>
      </c>
      <c r="C53" s="44">
        <v>0.013533</v>
      </c>
      <c r="D53" s="44">
        <v>0.013515</v>
      </c>
      <c r="E53" s="45">
        <v>0.013527</v>
      </c>
      <c r="F53" s="44">
        <v>0.013545</v>
      </c>
      <c r="G53" s="44">
        <v>0.013555</v>
      </c>
      <c r="H53" s="44">
        <v>0.013544</v>
      </c>
    </row>
    <row r="54" spans="1:8" ht="15">
      <c r="A54" s="93" t="str">
        <f>HLOOKUP(INDICE!$F$2,Nombres!$C$3:$D$636,69,FALSE)</f>
        <v>Pension funds</v>
      </c>
      <c r="B54" s="44">
        <v>390.44223488</v>
      </c>
      <c r="C54" s="44">
        <v>388.01119473</v>
      </c>
      <c r="D54" s="44">
        <v>389.32237884</v>
      </c>
      <c r="E54" s="45">
        <v>387.77874855</v>
      </c>
      <c r="F54" s="44">
        <v>407.12046328</v>
      </c>
      <c r="G54" s="44">
        <v>454.48082914</v>
      </c>
      <c r="H54" s="44">
        <v>496.67020717</v>
      </c>
    </row>
    <row r="55" spans="1:8" ht="15">
      <c r="A55" s="93" t="str">
        <f>HLOOKUP(INDICE!$F$2,Nombres!$C$3:$D$636,70,FALSE)</f>
        <v>Other off balance-sheet funds</v>
      </c>
      <c r="B55" s="44" t="s">
        <v>407</v>
      </c>
      <c r="C55" s="44" t="s">
        <v>407</v>
      </c>
      <c r="D55" s="44" t="s">
        <v>407</v>
      </c>
      <c r="E55" s="45" t="s">
        <v>407</v>
      </c>
      <c r="F55" s="44" t="s">
        <v>407</v>
      </c>
      <c r="G55" s="44" t="s">
        <v>407</v>
      </c>
      <c r="H55" s="44" t="s">
        <v>407</v>
      </c>
    </row>
    <row r="56" spans="1:8" ht="15">
      <c r="A56" s="97" t="str">
        <f>HLOOKUP(INDICE!$F$2,Nombres!$C$3:$D$636,71,FALSE)</f>
        <v>(*) Excluding repos. </v>
      </c>
      <c r="B56" s="60"/>
      <c r="C56" s="60"/>
      <c r="D56" s="60"/>
      <c r="E56" s="60"/>
      <c r="F56" s="44"/>
      <c r="G56" s="44"/>
      <c r="H56" s="44"/>
    </row>
    <row r="57" spans="1:8" ht="15">
      <c r="A57" s="97">
        <f>HLOOKUP(INDICE!$F$2,Nombres!$C$3:$D$636,72,FALSE)</f>
        <v>0</v>
      </c>
      <c r="B57" s="30"/>
      <c r="C57" s="30"/>
      <c r="D57" s="30"/>
      <c r="E57" s="30"/>
      <c r="F57" s="73"/>
      <c r="G57" s="73"/>
      <c r="H57" s="73"/>
    </row>
    <row r="58" spans="1:8" ht="15">
      <c r="A58" s="65"/>
      <c r="B58" s="30"/>
      <c r="C58" s="30"/>
      <c r="D58" s="30"/>
      <c r="E58" s="30"/>
      <c r="F58" s="73"/>
      <c r="G58" s="73"/>
      <c r="H58" s="73"/>
    </row>
    <row r="59" spans="1:8" ht="18">
      <c r="A59" s="98" t="str">
        <f>HLOOKUP(INDICE!$F$2,Nombres!$C$3:$D$636,31,FALSE)</f>
        <v>Income statement  </v>
      </c>
      <c r="B59" s="34"/>
      <c r="C59" s="34"/>
      <c r="D59" s="34"/>
      <c r="E59" s="34"/>
      <c r="F59" s="72"/>
      <c r="G59" s="72"/>
      <c r="H59" s="72"/>
    </row>
    <row r="60" spans="1:8" ht="15">
      <c r="A60" s="89" t="str">
        <f>HLOOKUP(INDICE!$F$2,Nombres!$C$3:$D$636,73,FALSE)</f>
        <v>(Constant million euros)    </v>
      </c>
      <c r="B60" s="30"/>
      <c r="C60" s="36"/>
      <c r="D60" s="36"/>
      <c r="E60" s="36"/>
      <c r="F60" s="73"/>
      <c r="G60" s="73"/>
      <c r="H60" s="73"/>
    </row>
    <row r="61" spans="1:8" ht="15">
      <c r="A61" s="37"/>
      <c r="B61" s="30"/>
      <c r="C61" s="36"/>
      <c r="D61" s="36"/>
      <c r="E61" s="36"/>
      <c r="F61" s="30"/>
      <c r="G61" s="30"/>
      <c r="H61" s="30"/>
    </row>
    <row r="62" spans="1:8" ht="15.75">
      <c r="A62" s="38"/>
      <c r="B62" s="288">
        <f>+B$6</f>
        <v>2018</v>
      </c>
      <c r="C62" s="288"/>
      <c r="D62" s="288"/>
      <c r="E62" s="289"/>
      <c r="F62" s="292">
        <f>+F$6</f>
        <v>2019</v>
      </c>
      <c r="G62" s="288"/>
      <c r="H62" s="288"/>
    </row>
    <row r="63" spans="1:8" ht="15.75">
      <c r="A63" s="38"/>
      <c r="B63" s="90" t="str">
        <f aca="true" t="shared" si="8" ref="B63:H63">+B$7</f>
        <v>1Q</v>
      </c>
      <c r="C63" s="90" t="str">
        <f t="shared" si="8"/>
        <v>2Q</v>
      </c>
      <c r="D63" s="90" t="str">
        <f t="shared" si="8"/>
        <v>3Q</v>
      </c>
      <c r="E63" s="91" t="str">
        <f t="shared" si="8"/>
        <v>4Q</v>
      </c>
      <c r="F63" s="90" t="str">
        <f t="shared" si="8"/>
        <v>1Q</v>
      </c>
      <c r="G63" s="90" t="str">
        <f t="shared" si="8"/>
        <v>2Q</v>
      </c>
      <c r="H63" s="90" t="str">
        <f t="shared" si="8"/>
        <v>3Q</v>
      </c>
    </row>
    <row r="64" spans="1:8" ht="15">
      <c r="A64" s="41" t="str">
        <f>HLOOKUP(INDICE!$F$2,Nombres!$C$3:$D$636,33,FALSE)</f>
        <v>Net interest income</v>
      </c>
      <c r="B64" s="41">
        <v>42.94413642618339</v>
      </c>
      <c r="C64" s="41">
        <v>39.895682145398304</v>
      </c>
      <c r="D64" s="41">
        <v>43.10384870516387</v>
      </c>
      <c r="E64" s="42">
        <v>49.44261617789936</v>
      </c>
      <c r="F64" s="52">
        <v>39.44416681490458</v>
      </c>
      <c r="G64" s="52">
        <v>45.116910659782455</v>
      </c>
      <c r="H64" s="52">
        <v>45.51358239531298</v>
      </c>
    </row>
    <row r="65" spans="1:8" ht="15">
      <c r="A65" s="93" t="str">
        <f>HLOOKUP(INDICE!$F$2,Nombres!$C$3:$D$636,34,FALSE)</f>
        <v>Net fees and commissions</v>
      </c>
      <c r="B65" s="44">
        <v>38.946657062462855</v>
      </c>
      <c r="C65" s="44">
        <v>40.83055239337101</v>
      </c>
      <c r="D65" s="44">
        <v>35.011306491898786</v>
      </c>
      <c r="E65" s="45">
        <v>24.147829204942497</v>
      </c>
      <c r="F65" s="44">
        <v>35.83902991109355</v>
      </c>
      <c r="G65" s="44">
        <v>33.41195662132803</v>
      </c>
      <c r="H65" s="44">
        <v>36.15190647757841</v>
      </c>
    </row>
    <row r="66" spans="1:8" ht="15">
      <c r="A66" s="93" t="str">
        <f>HLOOKUP(INDICE!$F$2,Nombres!$C$3:$D$636,35,FALSE)</f>
        <v>Net trading income</v>
      </c>
      <c r="B66" s="44">
        <v>43.65199996153908</v>
      </c>
      <c r="C66" s="44">
        <v>11.22064822084722</v>
      </c>
      <c r="D66" s="44">
        <v>22.411766882565793</v>
      </c>
      <c r="E66" s="45">
        <v>24.04311952911685</v>
      </c>
      <c r="F66" s="44">
        <v>26.63258669893801</v>
      </c>
      <c r="G66" s="44">
        <v>33.84269063710168</v>
      </c>
      <c r="H66" s="44">
        <v>33.34004218396031</v>
      </c>
    </row>
    <row r="67" spans="1:8" ht="15">
      <c r="A67" s="93" t="str">
        <f>HLOOKUP(INDICE!$F$2,Nombres!$C$3:$D$636,36,FALSE)</f>
        <v>Other operating income and expenses</v>
      </c>
      <c r="B67" s="44">
        <v>0.6498333965305425</v>
      </c>
      <c r="C67" s="44">
        <v>-0.6747636982872456</v>
      </c>
      <c r="D67" s="44">
        <v>0.8279120310628338</v>
      </c>
      <c r="E67" s="45">
        <v>-0.8056586632097265</v>
      </c>
      <c r="F67" s="44">
        <v>1.570304505843085</v>
      </c>
      <c r="G67" s="44">
        <v>4.002275261031068</v>
      </c>
      <c r="H67" s="44">
        <v>3.326083273125847</v>
      </c>
    </row>
    <row r="68" spans="1:8" ht="15">
      <c r="A68" s="41" t="str">
        <f>HLOOKUP(INDICE!$F$2,Nombres!$C$3:$D$636,37,FALSE)</f>
        <v>Gross income</v>
      </c>
      <c r="B68" s="41">
        <f aca="true" t="shared" si="9" ref="B68:H68">+SUM(B64:B67)</f>
        <v>126.19262684671585</v>
      </c>
      <c r="C68" s="41">
        <f t="shared" si="9"/>
        <v>91.27211906132929</v>
      </c>
      <c r="D68" s="41">
        <f t="shared" si="9"/>
        <v>101.35483411069127</v>
      </c>
      <c r="E68" s="42">
        <f t="shared" si="9"/>
        <v>96.82790624874899</v>
      </c>
      <c r="F68" s="52">
        <f t="shared" si="9"/>
        <v>103.48608793077922</v>
      </c>
      <c r="G68" s="52">
        <f t="shared" si="9"/>
        <v>116.37383317924323</v>
      </c>
      <c r="H68" s="52">
        <f t="shared" si="9"/>
        <v>118.33161432997754</v>
      </c>
    </row>
    <row r="69" spans="1:8" ht="15">
      <c r="A69" s="93" t="str">
        <f>HLOOKUP(INDICE!$F$2,Nombres!$C$3:$D$636,38,FALSE)</f>
        <v>Operating expenses</v>
      </c>
      <c r="B69" s="44">
        <v>-71.74475323029021</v>
      </c>
      <c r="C69" s="44">
        <v>-68.9019066774386</v>
      </c>
      <c r="D69" s="44">
        <v>-74.17743625958164</v>
      </c>
      <c r="E69" s="45">
        <v>-73.3061573414219</v>
      </c>
      <c r="F69" s="44">
        <v>-69.64951358118888</v>
      </c>
      <c r="G69" s="44">
        <v>-72.14718045225192</v>
      </c>
      <c r="H69" s="44">
        <v>-70.6581785365592</v>
      </c>
    </row>
    <row r="70" spans="1:8" ht="15">
      <c r="A70" s="93" t="str">
        <f>HLOOKUP(INDICE!$F$2,Nombres!$C$3:$D$636,39,FALSE)</f>
        <v>  Administration expenses</v>
      </c>
      <c r="B70" s="44">
        <v>-70.20832959649996</v>
      </c>
      <c r="C70" s="44">
        <v>-67.38907175764632</v>
      </c>
      <c r="D70" s="44">
        <v>-72.66322002651157</v>
      </c>
      <c r="E70" s="45">
        <v>-71.6642350713429</v>
      </c>
      <c r="F70" s="44">
        <v>-65.30696426707534</v>
      </c>
      <c r="G70" s="44">
        <v>-67.92778030253604</v>
      </c>
      <c r="H70" s="44">
        <v>-66.06224700038864</v>
      </c>
    </row>
    <row r="71" spans="1:8" ht="15">
      <c r="A71" s="94" t="str">
        <f>HLOOKUP(INDICE!$F$2,Nombres!$C$3:$D$636,40,FALSE)</f>
        <v>  Personnel expenses</v>
      </c>
      <c r="B71" s="44">
        <v>-35.46992772814251</v>
      </c>
      <c r="C71" s="44">
        <v>-31.730328521634988</v>
      </c>
      <c r="D71" s="44">
        <v>-34.5338929271144</v>
      </c>
      <c r="E71" s="45">
        <v>-35.390756184636864</v>
      </c>
      <c r="F71" s="44">
        <v>-33.968586551671564</v>
      </c>
      <c r="G71" s="44">
        <v>-34.97617027370681</v>
      </c>
      <c r="H71" s="44">
        <v>-34.027147674621624</v>
      </c>
    </row>
    <row r="72" spans="1:8" ht="15">
      <c r="A72" s="94" t="str">
        <f>HLOOKUP(INDICE!$F$2,Nombres!$C$3:$D$636,41,FALSE)</f>
        <v>  General and administrative expenses</v>
      </c>
      <c r="B72" s="44">
        <v>-34.73840186835746</v>
      </c>
      <c r="C72" s="44">
        <v>-35.65874323601133</v>
      </c>
      <c r="D72" s="44">
        <v>-38.12932709939717</v>
      </c>
      <c r="E72" s="45">
        <v>-36.273478886706044</v>
      </c>
      <c r="F72" s="44">
        <v>-31.338377715403773</v>
      </c>
      <c r="G72" s="44">
        <v>-32.95161002882922</v>
      </c>
      <c r="H72" s="44">
        <v>-32.035099325767</v>
      </c>
    </row>
    <row r="73" spans="1:8" ht="15">
      <c r="A73" s="93" t="str">
        <f>HLOOKUP(INDICE!$F$2,Nombres!$C$3:$D$636,42,FALSE)</f>
        <v>  Depreciation</v>
      </c>
      <c r="B73" s="44">
        <v>-1.5364236337902475</v>
      </c>
      <c r="C73" s="44">
        <v>-1.512834919792271</v>
      </c>
      <c r="D73" s="44">
        <v>-1.5142162330700668</v>
      </c>
      <c r="E73" s="45">
        <v>-1.6419222700789862</v>
      </c>
      <c r="F73" s="44">
        <v>-4.342549314113542</v>
      </c>
      <c r="G73" s="44">
        <v>-4.219400149715882</v>
      </c>
      <c r="H73" s="44">
        <v>-4.595931536170577</v>
      </c>
    </row>
    <row r="74" spans="1:8" ht="15">
      <c r="A74" s="41" t="str">
        <f>HLOOKUP(INDICE!$F$2,Nombres!$C$3:$D$636,43,FALSE)</f>
        <v>Operating income</v>
      </c>
      <c r="B74" s="41">
        <f aca="true" t="shared" si="10" ref="B74:H74">+B68+B69</f>
        <v>54.44787361642564</v>
      </c>
      <c r="C74" s="41">
        <f t="shared" si="10"/>
        <v>22.37021238389069</v>
      </c>
      <c r="D74" s="41">
        <f t="shared" si="10"/>
        <v>27.17739785110963</v>
      </c>
      <c r="E74" s="42">
        <f t="shared" si="10"/>
        <v>23.521748907327094</v>
      </c>
      <c r="F74" s="52">
        <f t="shared" si="10"/>
        <v>33.836574349590336</v>
      </c>
      <c r="G74" s="52">
        <f t="shared" si="10"/>
        <v>44.22665272699132</v>
      </c>
      <c r="H74" s="52">
        <f t="shared" si="10"/>
        <v>47.673435793418335</v>
      </c>
    </row>
    <row r="75" spans="1:8" ht="15">
      <c r="A75" s="93" t="str">
        <f>HLOOKUP(INDICE!$F$2,Nombres!$C$3:$D$636,44,FALSE)</f>
        <v>Impaiment on financial assets not measured at fair value through profit or loss</v>
      </c>
      <c r="B75" s="44">
        <v>16.957799793061085</v>
      </c>
      <c r="C75" s="44">
        <v>-3.1850465368628713</v>
      </c>
      <c r="D75" s="44">
        <v>-22.597618162089375</v>
      </c>
      <c r="E75" s="45">
        <v>32.74382116615589</v>
      </c>
      <c r="F75" s="44">
        <v>-10.26596830859124</v>
      </c>
      <c r="G75" s="44">
        <v>-0.44818190928426827</v>
      </c>
      <c r="H75" s="44">
        <v>4.197553217875509</v>
      </c>
    </row>
    <row r="76" spans="1:8" ht="15">
      <c r="A76" s="93" t="str">
        <f>HLOOKUP(INDICE!$F$2,Nombres!$C$3:$D$636,45,FALSE)</f>
        <v>Provisions or reversal of provisions and other results</v>
      </c>
      <c r="B76" s="44">
        <v>-0.6680771700000008</v>
      </c>
      <c r="C76" s="44">
        <v>3.01249102832254</v>
      </c>
      <c r="D76" s="44">
        <v>1.026370405242083</v>
      </c>
      <c r="E76" s="45">
        <v>-6.804126098309834</v>
      </c>
      <c r="F76" s="44">
        <v>-0.6760230900000003</v>
      </c>
      <c r="G76" s="44">
        <v>2.035707</v>
      </c>
      <c r="H76" s="44">
        <v>8.524508000000003</v>
      </c>
    </row>
    <row r="77" spans="1:8" ht="15">
      <c r="A77" s="95" t="str">
        <f>HLOOKUP(INDICE!$F$2,Nombres!$C$3:$D$636,46,FALSE)</f>
        <v>Profit/(loss) before tax</v>
      </c>
      <c r="B77" s="41">
        <f aca="true" t="shared" si="11" ref="B77:H77">+B74+B75+B76</f>
        <v>70.73759623948672</v>
      </c>
      <c r="C77" s="41">
        <f t="shared" si="11"/>
        <v>22.197656875350358</v>
      </c>
      <c r="D77" s="41">
        <f t="shared" si="11"/>
        <v>5.60615009426234</v>
      </c>
      <c r="E77" s="42">
        <f t="shared" si="11"/>
        <v>49.46144397517315</v>
      </c>
      <c r="F77" s="52">
        <f t="shared" si="11"/>
        <v>22.894582950999094</v>
      </c>
      <c r="G77" s="52">
        <f t="shared" si="11"/>
        <v>45.814177817707055</v>
      </c>
      <c r="H77" s="52">
        <f t="shared" si="11"/>
        <v>60.39549701129385</v>
      </c>
    </row>
    <row r="78" spans="1:8" ht="15">
      <c r="A78" s="43" t="str">
        <f>HLOOKUP(INDICE!$F$2,Nombres!$C$3:$D$636,47,FALSE)</f>
        <v>Income tax</v>
      </c>
      <c r="B78" s="44">
        <v>-22.29010707718696</v>
      </c>
      <c r="C78" s="44">
        <v>-10.565721697479564</v>
      </c>
      <c r="D78" s="44">
        <v>-5.0224942748333685</v>
      </c>
      <c r="E78" s="45">
        <v>-14.073526592684239</v>
      </c>
      <c r="F78" s="44">
        <v>-6.856145045179996</v>
      </c>
      <c r="G78" s="44">
        <v>-6.542434613659186</v>
      </c>
      <c r="H78" s="44">
        <v>-13.124992521160818</v>
      </c>
    </row>
    <row r="79" spans="1:8" ht="15">
      <c r="A79" s="95" t="str">
        <f>HLOOKUP(INDICE!$F$2,Nombres!$C$3:$D$636,48,FALSE)</f>
        <v>Profit/(loss) for the year</v>
      </c>
      <c r="B79" s="41">
        <f aca="true" t="shared" si="12" ref="B79:H79">+B77+B78</f>
        <v>48.44748916229976</v>
      </c>
      <c r="C79" s="41">
        <f t="shared" si="12"/>
        <v>11.631935177870794</v>
      </c>
      <c r="D79" s="41">
        <f t="shared" si="12"/>
        <v>0.5836558194289712</v>
      </c>
      <c r="E79" s="42">
        <f t="shared" si="12"/>
        <v>35.38791738248891</v>
      </c>
      <c r="F79" s="52">
        <f t="shared" si="12"/>
        <v>16.038437905819098</v>
      </c>
      <c r="G79" s="52">
        <f t="shared" si="12"/>
        <v>39.271743204047866</v>
      </c>
      <c r="H79" s="52">
        <f t="shared" si="12"/>
        <v>47.27050449013303</v>
      </c>
    </row>
    <row r="80" spans="1:8" ht="15">
      <c r="A80" s="93" t="str">
        <f>HLOOKUP(INDICE!$F$2,Nombres!$C$3:$D$636,49,FALSE)</f>
        <v>Non-controlling interests</v>
      </c>
      <c r="B80" s="44" t="s">
        <v>407</v>
      </c>
      <c r="C80" s="44" t="s">
        <v>407</v>
      </c>
      <c r="D80" s="44" t="s">
        <v>407</v>
      </c>
      <c r="E80" s="45" t="s">
        <v>407</v>
      </c>
      <c r="F80" s="44" t="s">
        <v>407</v>
      </c>
      <c r="G80" s="44" t="s">
        <v>407</v>
      </c>
      <c r="H80" s="44" t="s">
        <v>407</v>
      </c>
    </row>
    <row r="81" spans="1:8" ht="15">
      <c r="A81" s="96" t="str">
        <f>HLOOKUP(INDICE!$F$2,Nombres!$C$3:$D$636,50,FALSE)</f>
        <v>Net attributable profit</v>
      </c>
      <c r="B81" s="47">
        <f aca="true" t="shared" si="13" ref="B81:H81">+B79+B80</f>
        <v>48.44748916229976</v>
      </c>
      <c r="C81" s="47">
        <f t="shared" si="13"/>
        <v>11.631935177870794</v>
      </c>
      <c r="D81" s="47">
        <f t="shared" si="13"/>
        <v>0.5836558194289712</v>
      </c>
      <c r="E81" s="47">
        <f t="shared" si="13"/>
        <v>35.38791738248891</v>
      </c>
      <c r="F81" s="53">
        <f t="shared" si="13"/>
        <v>16.038437905819098</v>
      </c>
      <c r="G81" s="53">
        <f t="shared" si="13"/>
        <v>39.271743204047866</v>
      </c>
      <c r="H81" s="53">
        <f t="shared" si="13"/>
        <v>47.27050449013303</v>
      </c>
    </row>
    <row r="82" spans="1:8" ht="15">
      <c r="A82" s="97" t="s">
        <v>5</v>
      </c>
      <c r="B82" s="66">
        <v>0</v>
      </c>
      <c r="C82" s="66">
        <v>0</v>
      </c>
      <c r="D82" s="66">
        <v>-9.769962616701378E-15</v>
      </c>
      <c r="E82" s="66">
        <v>0</v>
      </c>
      <c r="F82" s="66">
        <v>0</v>
      </c>
      <c r="G82" s="66">
        <v>0</v>
      </c>
      <c r="H82" s="66">
        <v>0</v>
      </c>
    </row>
    <row r="83" spans="1:8" ht="15">
      <c r="A83" s="41"/>
      <c r="B83" s="41"/>
      <c r="C83" s="41"/>
      <c r="D83" s="41"/>
      <c r="E83" s="41"/>
      <c r="F83" s="52"/>
      <c r="G83" s="52"/>
      <c r="H83" s="52"/>
    </row>
    <row r="84" spans="1:8" ht="18">
      <c r="A84" s="98" t="str">
        <f>HLOOKUP(INDICE!$F$2,Nombres!$C$3:$D$636,51,FALSE)</f>
        <v>Balance sheets</v>
      </c>
      <c r="B84" s="34"/>
      <c r="C84" s="34"/>
      <c r="D84" s="34"/>
      <c r="E84" s="34"/>
      <c r="F84" s="72"/>
      <c r="G84" s="72"/>
      <c r="H84" s="72"/>
    </row>
    <row r="85" spans="1:8" ht="15">
      <c r="A85" s="89" t="str">
        <f>HLOOKUP(INDICE!$F$2,Nombres!$C$3:$D$636,73,FALSE)</f>
        <v>(Constant million euros)    </v>
      </c>
      <c r="B85" s="30"/>
      <c r="C85" s="54"/>
      <c r="D85" s="54"/>
      <c r="E85" s="54"/>
      <c r="F85" s="73"/>
      <c r="G85" s="44"/>
      <c r="H85" s="44"/>
    </row>
    <row r="86" spans="1:8" ht="15.75">
      <c r="A86" s="30"/>
      <c r="B86" s="55">
        <f aca="true" t="shared" si="14" ref="B86:H86">+B$30</f>
        <v>43190</v>
      </c>
      <c r="C86" s="55">
        <f t="shared" si="14"/>
        <v>43281</v>
      </c>
      <c r="D86" s="55">
        <f t="shared" si="14"/>
        <v>43373</v>
      </c>
      <c r="E86" s="71">
        <f t="shared" si="14"/>
        <v>43465</v>
      </c>
      <c r="F86" s="55">
        <f t="shared" si="14"/>
        <v>43555</v>
      </c>
      <c r="G86" s="55">
        <f t="shared" si="14"/>
        <v>43646</v>
      </c>
      <c r="H86" s="55">
        <f t="shared" si="14"/>
        <v>43738</v>
      </c>
    </row>
    <row r="87" spans="1:8" ht="15">
      <c r="A87" s="93" t="str">
        <f>HLOOKUP(INDICE!$F$2,Nombres!$C$3:$D$636,52,FALSE)</f>
        <v>Cash, cash balances at central banks and other demand deposits</v>
      </c>
      <c r="B87" s="44">
        <v>803.0765531876157</v>
      </c>
      <c r="C87" s="44">
        <v>889.2989109752275</v>
      </c>
      <c r="D87" s="44">
        <v>704.4025605917459</v>
      </c>
      <c r="E87" s="45">
        <v>242.0500913040578</v>
      </c>
      <c r="F87" s="44">
        <v>215.11018707596196</v>
      </c>
      <c r="G87" s="44">
        <v>218.7407086243609</v>
      </c>
      <c r="H87" s="44">
        <v>228.42340199999816</v>
      </c>
    </row>
    <row r="88" spans="1:8" ht="15">
      <c r="A88" s="93" t="str">
        <f>HLOOKUP(INDICE!$F$2,Nombres!$C$3:$D$636,53,FALSE)</f>
        <v>Financial assets designated at fair value </v>
      </c>
      <c r="B88" s="60">
        <v>534.7298213730116</v>
      </c>
      <c r="C88" s="60">
        <v>539.195213251814</v>
      </c>
      <c r="D88" s="60">
        <v>531.7280015828733</v>
      </c>
      <c r="E88" s="68">
        <v>504.73544769513006</v>
      </c>
      <c r="F88" s="44">
        <v>504.1709911368227</v>
      </c>
      <c r="G88" s="44">
        <v>511.1978511621812</v>
      </c>
      <c r="H88" s="44">
        <v>494.38904939</v>
      </c>
    </row>
    <row r="89" spans="1:8" ht="15">
      <c r="A89" s="43" t="str">
        <f>HLOOKUP(INDICE!$F$2,Nombres!$C$3:$D$636,54,FALSE)</f>
        <v>Financial assets at amortized cost</v>
      </c>
      <c r="B89" s="44">
        <v>16340.735138241347</v>
      </c>
      <c r="C89" s="44">
        <v>18035.31303341814</v>
      </c>
      <c r="D89" s="44">
        <v>18036.12142779474</v>
      </c>
      <c r="E89" s="45">
        <v>17825.495753812913</v>
      </c>
      <c r="F89" s="44">
        <v>19541.179258048272</v>
      </c>
      <c r="G89" s="44">
        <v>19158.987847866945</v>
      </c>
      <c r="H89" s="44">
        <v>20649.832052</v>
      </c>
    </row>
    <row r="90" spans="1:8" ht="15">
      <c r="A90" s="93" t="str">
        <f>HLOOKUP(INDICE!$F$2,Nombres!$C$3:$D$636,55,FALSE)</f>
        <v>    of which loans and advances to customers</v>
      </c>
      <c r="B90" s="44">
        <v>15220.163268400787</v>
      </c>
      <c r="C90" s="44">
        <v>16692.149314951555</v>
      </c>
      <c r="D90" s="44">
        <v>16761.163124426363</v>
      </c>
      <c r="E90" s="45">
        <v>16612.37103340622</v>
      </c>
      <c r="F90" s="44">
        <v>18268.31439230427</v>
      </c>
      <c r="G90" s="44">
        <v>17560.98494435314</v>
      </c>
      <c r="H90" s="44">
        <v>18473.411791</v>
      </c>
    </row>
    <row r="91" spans="1:8" ht="15">
      <c r="A91" s="93" t="str">
        <f>HLOOKUP(INDICE!$F$2,Nombres!$C$3:$D$636,121,FALSE)</f>
        <v>Inter-area positions</v>
      </c>
      <c r="B91" s="44">
        <v>0</v>
      </c>
      <c r="C91" s="44">
        <v>0</v>
      </c>
      <c r="D91" s="44">
        <v>0</v>
      </c>
      <c r="E91" s="45">
        <v>0</v>
      </c>
      <c r="F91" s="44">
        <v>0</v>
      </c>
      <c r="G91" s="44">
        <v>0</v>
      </c>
      <c r="H91" s="44">
        <v>0</v>
      </c>
    </row>
    <row r="92" spans="1:8" ht="15">
      <c r="A92" s="43" t="str">
        <f>HLOOKUP(INDICE!$F$2,Nombres!$C$3:$D$636,56,FALSE)</f>
        <v>Tangible assets</v>
      </c>
      <c r="B92" s="44">
        <v>36.859110348532965</v>
      </c>
      <c r="C92" s="44">
        <v>37.14650386699793</v>
      </c>
      <c r="D92" s="44">
        <v>38.11462493763281</v>
      </c>
      <c r="E92" s="45">
        <v>39.569307449900805</v>
      </c>
      <c r="F92" s="44">
        <v>99.16810062975335</v>
      </c>
      <c r="G92" s="44">
        <v>94.08562851184254</v>
      </c>
      <c r="H92" s="44">
        <v>74.043794</v>
      </c>
    </row>
    <row r="93" spans="1:8" ht="15">
      <c r="A93" s="93" t="str">
        <f>HLOOKUP(INDICE!$F$2,Nombres!$C$3:$D$636,57,FALSE)</f>
        <v>Other assets</v>
      </c>
      <c r="B93" s="60">
        <f>+B94-B92-B89-B88-B87-B91</f>
        <v>345.62767888761255</v>
      </c>
      <c r="C93" s="60">
        <f aca="true" t="shared" si="15" ref="C93:H93">+C94-C92-C89-C88-C87</f>
        <v>381.0584874343531</v>
      </c>
      <c r="D93" s="60">
        <f t="shared" si="15"/>
        <v>320.62057965619033</v>
      </c>
      <c r="E93" s="68">
        <f t="shared" si="15"/>
        <v>254.89572610187446</v>
      </c>
      <c r="F93" s="44">
        <f t="shared" si="15"/>
        <v>247.73960941356017</v>
      </c>
      <c r="G93" s="44">
        <f t="shared" si="15"/>
        <v>243.9030598224726</v>
      </c>
      <c r="H93" s="44">
        <f t="shared" si="15"/>
        <v>239.45821700001963</v>
      </c>
    </row>
    <row r="94" spans="1:8" ht="15">
      <c r="A94" s="96" t="str">
        <f>HLOOKUP(INDICE!$F$2,Nombres!$C$3:$D$636,58,FALSE)</f>
        <v>Total assets / Liabilities and equity</v>
      </c>
      <c r="B94" s="47">
        <v>18061.02830203812</v>
      </c>
      <c r="C94" s="47">
        <v>19882.012148946535</v>
      </c>
      <c r="D94" s="47">
        <v>19630.987194563182</v>
      </c>
      <c r="E94" s="74">
        <v>18866.746326363875</v>
      </c>
      <c r="F94" s="53">
        <v>20607.368146304372</v>
      </c>
      <c r="G94" s="53">
        <v>20226.915095987802</v>
      </c>
      <c r="H94" s="53">
        <v>21686.14651439002</v>
      </c>
    </row>
    <row r="95" spans="1:8" ht="15">
      <c r="A95" s="93" t="str">
        <f>HLOOKUP(INDICE!$F$2,Nombres!$C$3:$D$636,59,FALSE)</f>
        <v>Financial liabilities held for trading and designated at fair value through profit or loss</v>
      </c>
      <c r="B95" s="60">
        <v>42.78247184371804</v>
      </c>
      <c r="C95" s="60">
        <v>41.05267442332972</v>
      </c>
      <c r="D95" s="60">
        <v>39.02055601372108</v>
      </c>
      <c r="E95" s="68">
        <v>41.8235523966962</v>
      </c>
      <c r="F95" s="44">
        <v>42.23688926846028</v>
      </c>
      <c r="G95" s="44">
        <v>43.02605180298638</v>
      </c>
      <c r="H95" s="44">
        <v>47.32370600000001</v>
      </c>
    </row>
    <row r="96" spans="1:8" ht="15">
      <c r="A96" s="93" t="str">
        <f>HLOOKUP(INDICE!$F$2,Nombres!$C$3:$D$636,60,FALSE)</f>
        <v>Deposits from central banks and credit institutions</v>
      </c>
      <c r="B96" s="60">
        <v>2895.01702135888</v>
      </c>
      <c r="C96" s="60">
        <v>2626.3168392546168</v>
      </c>
      <c r="D96" s="60">
        <v>2308.4184092408045</v>
      </c>
      <c r="E96" s="68">
        <v>1276.394131682196</v>
      </c>
      <c r="F96" s="44">
        <v>932.9804942470594</v>
      </c>
      <c r="G96" s="44">
        <v>880.8018910757236</v>
      </c>
      <c r="H96" s="44">
        <v>919.450964</v>
      </c>
    </row>
    <row r="97" spans="1:8" ht="15">
      <c r="A97" s="93" t="str">
        <f>HLOOKUP(INDICE!$F$2,Nombres!$C$3:$D$636,61,FALSE)</f>
        <v>Deposits from customers</v>
      </c>
      <c r="B97" s="60">
        <v>5483.237679949039</v>
      </c>
      <c r="C97" s="60">
        <v>5278.572529481977</v>
      </c>
      <c r="D97" s="60">
        <v>5222.841727571363</v>
      </c>
      <c r="E97" s="68">
        <v>4898.328778822906</v>
      </c>
      <c r="F97" s="44">
        <v>5082.764671805435</v>
      </c>
      <c r="G97" s="44">
        <v>4306.80131321153</v>
      </c>
      <c r="H97" s="44">
        <v>4366.209579</v>
      </c>
    </row>
    <row r="98" spans="1:8" ht="15">
      <c r="A98" s="43" t="str">
        <f>HLOOKUP(INDICE!$F$2,Nombres!$C$3:$D$636,62,FALSE)</f>
        <v>Debt certificates</v>
      </c>
      <c r="B98" s="44">
        <v>221.10296792795077</v>
      </c>
      <c r="C98" s="44">
        <v>290.64051621500056</v>
      </c>
      <c r="D98" s="44">
        <v>266.2401235028635</v>
      </c>
      <c r="E98" s="45">
        <v>213.06812202499</v>
      </c>
      <c r="F98" s="44">
        <v>196.68242437175806</v>
      </c>
      <c r="G98" s="44">
        <v>984.7683532212347</v>
      </c>
      <c r="H98" s="44">
        <v>622.1642723299999</v>
      </c>
    </row>
    <row r="99" spans="1:8" ht="15">
      <c r="A99" s="93" t="str">
        <f>HLOOKUP(INDICE!$F$2,Nombres!$C$3:$D$636,122,FALSE)</f>
        <v>Inter-area positions</v>
      </c>
      <c r="B99" s="44">
        <v>7262.480671921005</v>
      </c>
      <c r="C99" s="44">
        <v>9588.117735251973</v>
      </c>
      <c r="D99" s="44">
        <v>9887.450413580926</v>
      </c>
      <c r="E99" s="45">
        <v>11408.779470185484</v>
      </c>
      <c r="F99" s="44">
        <v>13222.492204561438</v>
      </c>
      <c r="G99" s="44">
        <v>12661.274823241605</v>
      </c>
      <c r="H99" s="44">
        <v>14466.254879359976</v>
      </c>
    </row>
    <row r="100" spans="1:8" ht="15">
      <c r="A100" s="43" t="str">
        <f>HLOOKUP(INDICE!$F$2,Nombres!$C$3:$D$636,63,FALSE)</f>
        <v>Other liabilities</v>
      </c>
      <c r="B100" s="60">
        <f aca="true" t="shared" si="16" ref="B100:H100">+B94-B95-B96-B97-B98-B101-B99</f>
        <v>1271.7801129207073</v>
      </c>
      <c r="C100" s="60">
        <f t="shared" si="16"/>
        <v>1269.3070377209078</v>
      </c>
      <c r="D100" s="60">
        <f t="shared" si="16"/>
        <v>1182.0616529168547</v>
      </c>
      <c r="E100" s="68">
        <f t="shared" si="16"/>
        <v>270.77611269698536</v>
      </c>
      <c r="F100" s="60">
        <f t="shared" si="16"/>
        <v>343.31494778177876</v>
      </c>
      <c r="G100" s="60">
        <f t="shared" si="16"/>
        <v>533.0034363359991</v>
      </c>
      <c r="H100" s="60">
        <f t="shared" si="16"/>
        <v>420.29418541004634</v>
      </c>
    </row>
    <row r="101" spans="1:8" ht="15">
      <c r="A101" s="93" t="str">
        <f>HLOOKUP(INDICE!$F$2,Nombres!$C$3:$D$636,64,FALSE)</f>
        <v>Economic capital allocated</v>
      </c>
      <c r="B101" s="44">
        <v>884.6273761168211</v>
      </c>
      <c r="C101" s="44">
        <v>788.0048165987298</v>
      </c>
      <c r="D101" s="44">
        <v>724.9543117366529</v>
      </c>
      <c r="E101" s="45">
        <v>757.5761585546161</v>
      </c>
      <c r="F101" s="44">
        <v>786.8965142684428</v>
      </c>
      <c r="G101" s="44">
        <v>817.2392270987248</v>
      </c>
      <c r="H101" s="44">
        <v>844.4489282899999</v>
      </c>
    </row>
    <row r="102" spans="1:8" ht="15">
      <c r="A102" s="65"/>
      <c r="B102" s="60"/>
      <c r="C102" s="60"/>
      <c r="D102" s="60"/>
      <c r="E102" s="60"/>
      <c r="F102" s="44"/>
      <c r="G102" s="44"/>
      <c r="H102" s="44"/>
    </row>
    <row r="103" spans="1:8" ht="15">
      <c r="A103" s="43"/>
      <c r="B103" s="60"/>
      <c r="C103" s="60"/>
      <c r="D103" s="60"/>
      <c r="E103" s="60"/>
      <c r="F103" s="44"/>
      <c r="G103" s="44"/>
      <c r="H103" s="44"/>
    </row>
    <row r="104" spans="1:8" ht="18">
      <c r="A104" s="98" t="str">
        <f>HLOOKUP(INDICE!$F$2,Nombres!$C$3:$D$636,65,FALSE)</f>
        <v>Relevant business indicators</v>
      </c>
      <c r="B104" s="34"/>
      <c r="C104" s="34"/>
      <c r="D104" s="34"/>
      <c r="E104" s="34"/>
      <c r="F104" s="72"/>
      <c r="G104" s="72"/>
      <c r="H104" s="72"/>
    </row>
    <row r="105" spans="1:8" ht="15">
      <c r="A105" s="89" t="str">
        <f>HLOOKUP(INDICE!$F$2,Nombres!$C$3:$D$636,73,FALSE)</f>
        <v>(Constant million euros)    </v>
      </c>
      <c r="B105" s="30"/>
      <c r="C105" s="30"/>
      <c r="D105" s="30"/>
      <c r="E105" s="30"/>
      <c r="F105" s="73"/>
      <c r="G105" s="44"/>
      <c r="H105" s="44"/>
    </row>
    <row r="106" spans="1:8" ht="15.75">
      <c r="A106" s="30"/>
      <c r="B106" s="55">
        <f aca="true" t="shared" si="17" ref="B106:H106">+B$30</f>
        <v>43190</v>
      </c>
      <c r="C106" s="55">
        <f t="shared" si="17"/>
        <v>43281</v>
      </c>
      <c r="D106" s="55">
        <f t="shared" si="17"/>
        <v>43373</v>
      </c>
      <c r="E106" s="71">
        <f t="shared" si="17"/>
        <v>43465</v>
      </c>
      <c r="F106" s="55">
        <f t="shared" si="17"/>
        <v>43555</v>
      </c>
      <c r="G106" s="55">
        <f t="shared" si="17"/>
        <v>43646</v>
      </c>
      <c r="H106" s="55">
        <f t="shared" si="17"/>
        <v>43738</v>
      </c>
    </row>
    <row r="107" spans="1:8" ht="15">
      <c r="A107" s="93" t="str">
        <f>HLOOKUP(INDICE!$F$2,Nombres!$C$3:$D$636,66,FALSE)</f>
        <v>Loans and advances to customers (gross) (*)</v>
      </c>
      <c r="B107" s="44">
        <v>15601.404960400789</v>
      </c>
      <c r="C107" s="44">
        <v>17039.393556951556</v>
      </c>
      <c r="D107" s="44">
        <v>17125.05845042636</v>
      </c>
      <c r="E107" s="45">
        <v>16950.930817406213</v>
      </c>
      <c r="F107" s="44">
        <v>18612.496213304268</v>
      </c>
      <c r="G107" s="44">
        <v>17898.02780135314</v>
      </c>
      <c r="H107" s="44">
        <v>18810.17098</v>
      </c>
    </row>
    <row r="108" spans="1:8" ht="15">
      <c r="A108" s="93" t="str">
        <f>HLOOKUP(INDICE!$F$2,Nombres!$C$3:$D$636,67,FALSE)</f>
        <v>Customer deposits under management (*)</v>
      </c>
      <c r="B108" s="44">
        <v>5483.237679949039</v>
      </c>
      <c r="C108" s="44">
        <v>5278.572529481978</v>
      </c>
      <c r="D108" s="44">
        <v>5222.841727571362</v>
      </c>
      <c r="E108" s="45">
        <v>4898.328778822907</v>
      </c>
      <c r="F108" s="44">
        <v>5082.764671805435</v>
      </c>
      <c r="G108" s="44">
        <v>4306.801313211529</v>
      </c>
      <c r="H108" s="44">
        <v>4366.209579</v>
      </c>
    </row>
    <row r="109" spans="1:8" ht="15">
      <c r="A109" s="43" t="str">
        <f>HLOOKUP(INDICE!$F$2,Nombres!$C$3:$D$636,68,FALSE)</f>
        <v>Mutual funds</v>
      </c>
      <c r="B109" s="44">
        <v>0.013577</v>
      </c>
      <c r="C109" s="44">
        <v>0.013533</v>
      </c>
      <c r="D109" s="44">
        <v>0.013515</v>
      </c>
      <c r="E109" s="45">
        <v>0.013527</v>
      </c>
      <c r="F109" s="44">
        <v>0.013545</v>
      </c>
      <c r="G109" s="44">
        <v>0.013555</v>
      </c>
      <c r="H109" s="44">
        <v>0.013544</v>
      </c>
    </row>
    <row r="110" spans="1:8" ht="15">
      <c r="A110" s="93" t="str">
        <f>HLOOKUP(INDICE!$F$2,Nombres!$C$3:$D$636,69,FALSE)</f>
        <v>Pension funds</v>
      </c>
      <c r="B110" s="44">
        <v>390.44223488</v>
      </c>
      <c r="C110" s="44">
        <v>388.01119473</v>
      </c>
      <c r="D110" s="44">
        <v>389.32237884</v>
      </c>
      <c r="E110" s="45">
        <v>387.77874855</v>
      </c>
      <c r="F110" s="44">
        <v>407.12046328</v>
      </c>
      <c r="G110" s="44">
        <v>454.48082914</v>
      </c>
      <c r="H110" s="44">
        <v>496.67020717</v>
      </c>
    </row>
    <row r="111" spans="1:8" ht="15">
      <c r="A111" s="93" t="str">
        <f>HLOOKUP(INDICE!$F$2,Nombres!$C$3:$D$636,70,FALSE)</f>
        <v>Other off balance-sheet funds</v>
      </c>
      <c r="B111" s="44" t="s">
        <v>407</v>
      </c>
      <c r="C111" s="44" t="s">
        <v>407</v>
      </c>
      <c r="D111" s="44" t="s">
        <v>407</v>
      </c>
      <c r="E111" s="45" t="s">
        <v>407</v>
      </c>
      <c r="F111" s="44" t="s">
        <v>407</v>
      </c>
      <c r="G111" s="44" t="s">
        <v>407</v>
      </c>
      <c r="H111" s="44" t="s">
        <v>407</v>
      </c>
    </row>
    <row r="112" spans="1:8" ht="15">
      <c r="A112" s="97" t="str">
        <f>HLOOKUP(INDICE!$F$2,Nombres!$C$3:$D$636,71,FALSE)</f>
        <v>(*) Excluding repos. </v>
      </c>
      <c r="B112" s="60"/>
      <c r="C112" s="60"/>
      <c r="D112" s="60"/>
      <c r="E112" s="60"/>
      <c r="F112" s="60"/>
      <c r="G112" s="60"/>
      <c r="H112" s="60"/>
    </row>
    <row r="113" spans="1:8" ht="15">
      <c r="A113" s="97">
        <f>HLOOKUP(INDICE!$F$2,Nombres!$C$3:$D$636,72,FALSE)</f>
        <v>0</v>
      </c>
      <c r="B113" s="30"/>
      <c r="C113" s="30"/>
      <c r="D113" s="30"/>
      <c r="E113" s="30"/>
      <c r="F113" s="30"/>
      <c r="G113" s="30"/>
      <c r="H113" s="30"/>
    </row>
    <row r="114" spans="1:8" ht="15">
      <c r="A114" s="65"/>
      <c r="B114" s="60"/>
      <c r="C114" s="44"/>
      <c r="D114" s="44"/>
      <c r="E114" s="44"/>
      <c r="F114" s="44"/>
      <c r="G114" s="30"/>
      <c r="H114" s="30"/>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63" spans="6:8" ht="15">
      <c r="F163" s="86"/>
      <c r="G163" s="86"/>
      <c r="H163" s="86"/>
    </row>
    <row r="164" spans="6:8" ht="15">
      <c r="F164" s="86"/>
      <c r="G164" s="86"/>
      <c r="H164" s="86"/>
    </row>
    <row r="165" spans="6:8" ht="15">
      <c r="F165" s="86"/>
      <c r="G165" s="86"/>
      <c r="H165" s="86"/>
    </row>
    <row r="166" spans="6:8" ht="15">
      <c r="F166" s="86"/>
      <c r="G166" s="86"/>
      <c r="H166" s="86"/>
    </row>
    <row r="1000" ht="15">
      <c r="A1000" s="31" t="s">
        <v>406</v>
      </c>
    </row>
  </sheetData>
  <sheetProtection/>
  <mergeCells count="4">
    <mergeCell ref="B6:E6"/>
    <mergeCell ref="B62:E62"/>
    <mergeCell ref="F6:H6"/>
    <mergeCell ref="F62:H62"/>
  </mergeCells>
  <conditionalFormatting sqref="B26:H26">
    <cfRule type="cellIs" priority="2" dxfId="92" operator="notBetween">
      <formula>0.5</formula>
      <formula>-0.5</formula>
    </cfRule>
  </conditionalFormatting>
  <conditionalFormatting sqref="B82:H82">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HLOOKUP(INDICE!$F$2,Nombres!$C$3:$D$636,19,FALSE)</f>
        <v>Corporate Center </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90" t="str">
        <f>+España!B7</f>
        <v>1Q</v>
      </c>
      <c r="C7" s="90" t="str">
        <f>+España!C7</f>
        <v>2Q</v>
      </c>
      <c r="D7" s="90" t="str">
        <f>+España!D7</f>
        <v>3Q</v>
      </c>
      <c r="E7" s="91" t="str">
        <f>+España!E7</f>
        <v>4Q</v>
      </c>
      <c r="F7" s="90" t="str">
        <f>+España!F7</f>
        <v>1Q</v>
      </c>
      <c r="G7" s="90" t="str">
        <f>+España!G7</f>
        <v>2Q</v>
      </c>
      <c r="H7" s="90" t="str">
        <f>+España!H7</f>
        <v>3Q</v>
      </c>
    </row>
    <row r="8" spans="1:8" ht="15">
      <c r="A8" s="41" t="str">
        <f>HLOOKUP(INDICE!$F$2,Nombres!$C$3:$D$636,33,FALSE)</f>
        <v>Net interest income</v>
      </c>
      <c r="B8" s="41">
        <v>-67.40406131000002</v>
      </c>
      <c r="C8" s="41">
        <v>-69.98292647999997</v>
      </c>
      <c r="D8" s="41">
        <v>-68.43443806000006</v>
      </c>
      <c r="E8" s="42">
        <v>-63.428757729999845</v>
      </c>
      <c r="F8" s="52">
        <v>-70.70203647</v>
      </c>
      <c r="G8" s="52">
        <v>-61.00706225999993</v>
      </c>
      <c r="H8" s="52">
        <v>-60.821187750000036</v>
      </c>
    </row>
    <row r="9" spans="1:8" ht="15">
      <c r="A9" s="43" t="str">
        <f>HLOOKUP(INDICE!$F$2,Nombres!$C$3:$D$636,34,FALSE)</f>
        <v>Net fees and commissions</v>
      </c>
      <c r="B9" s="44">
        <v>-7.3890382000000026</v>
      </c>
      <c r="C9" s="44">
        <v>-24.889611390000002</v>
      </c>
      <c r="D9" s="44">
        <v>-17.76189876</v>
      </c>
      <c r="E9" s="45">
        <v>-8.614086760000001</v>
      </c>
      <c r="F9" s="44">
        <v>-15.139633689999998</v>
      </c>
      <c r="G9" s="44">
        <v>-28.940663479999994</v>
      </c>
      <c r="H9" s="44">
        <v>-17.39855474</v>
      </c>
    </row>
    <row r="10" spans="1:8" ht="15">
      <c r="A10" s="43" t="str">
        <f>HLOOKUP(INDICE!$F$2,Nombres!$C$3:$D$636,35,FALSE)</f>
        <v>Net trading income</v>
      </c>
      <c r="B10" s="44">
        <v>-23.727804739999996</v>
      </c>
      <c r="C10" s="44">
        <v>-33.97562251999997</v>
      </c>
      <c r="D10" s="44">
        <v>-37.93172167</v>
      </c>
      <c r="E10" s="45">
        <v>-59.072731889999986</v>
      </c>
      <c r="F10" s="44">
        <v>-7.082427110000008</v>
      </c>
      <c r="G10" s="44">
        <v>-66.65652975</v>
      </c>
      <c r="H10" s="44">
        <v>20.24674706999999</v>
      </c>
    </row>
    <row r="11" spans="1:8" ht="15">
      <c r="A11" s="43" t="str">
        <f>HLOOKUP(INDICE!$F$2,Nombres!$C$3:$D$636,36,FALSE)</f>
        <v>Other operating income and expenses</v>
      </c>
      <c r="B11" s="44">
        <v>-3.3559226399999815</v>
      </c>
      <c r="C11" s="44">
        <v>42.45043117999987</v>
      </c>
      <c r="D11" s="44">
        <v>-2.3772499699998413</v>
      </c>
      <c r="E11" s="45">
        <v>26.282921949999803</v>
      </c>
      <c r="F11" s="44">
        <v>-14.187246229999918</v>
      </c>
      <c r="G11" s="44">
        <v>27.60993240999997</v>
      </c>
      <c r="H11" s="44">
        <v>-13.858168129999761</v>
      </c>
    </row>
    <row r="12" spans="1:8" ht="15">
      <c r="A12" s="41" t="str">
        <f>HLOOKUP(INDICE!$F$2,Nombres!$C$3:$D$636,37,FALSE)</f>
        <v>Gross income</v>
      </c>
      <c r="B12" s="41">
        <f>+SUM(B8:B11)</f>
        <v>-101.87682688999999</v>
      </c>
      <c r="C12" s="41">
        <f aca="true" t="shared" si="0" ref="C12:H12">+SUM(C8:C11)</f>
        <v>-86.39772921000008</v>
      </c>
      <c r="D12" s="41">
        <f t="shared" si="0"/>
        <v>-126.5053084599999</v>
      </c>
      <c r="E12" s="42">
        <f t="shared" si="0"/>
        <v>-104.83265443000002</v>
      </c>
      <c r="F12" s="52">
        <f t="shared" si="0"/>
        <v>-107.11134349999992</v>
      </c>
      <c r="G12" s="52">
        <f t="shared" si="0"/>
        <v>-128.99432307999996</v>
      </c>
      <c r="H12" s="52">
        <f t="shared" si="0"/>
        <v>-71.83116354999981</v>
      </c>
    </row>
    <row r="13" spans="1:8" ht="15">
      <c r="A13" s="43" t="str">
        <f>HLOOKUP(INDICE!$F$2,Nombres!$C$3:$D$636,38,FALSE)</f>
        <v>Operating expenses</v>
      </c>
      <c r="B13" s="44">
        <v>-212.24619761</v>
      </c>
      <c r="C13" s="44">
        <v>-220.57032557000002</v>
      </c>
      <c r="D13" s="44">
        <v>-227.43487142999996</v>
      </c>
      <c r="E13" s="45">
        <v>-210.80464394</v>
      </c>
      <c r="F13" s="44">
        <v>-239.19603904</v>
      </c>
      <c r="G13" s="44">
        <v>-242.67488241000007</v>
      </c>
      <c r="H13" s="44">
        <v>-235.67846496</v>
      </c>
    </row>
    <row r="14" spans="1:8" ht="15">
      <c r="A14" s="43" t="str">
        <f>HLOOKUP(INDICE!$F$2,Nombres!$C$3:$D$636,39,FALSE)</f>
        <v>  Administration expenses</v>
      </c>
      <c r="B14" s="44">
        <v>-156.29904609</v>
      </c>
      <c r="C14" s="44">
        <v>-171.41122095000003</v>
      </c>
      <c r="D14" s="44">
        <v>-179.37350858</v>
      </c>
      <c r="E14" s="45">
        <v>-164.42189224</v>
      </c>
      <c r="F14" s="44">
        <v>-195.83674251999997</v>
      </c>
      <c r="G14" s="44">
        <v>-195.18975390000003</v>
      </c>
      <c r="H14" s="44">
        <v>-186.13632445</v>
      </c>
    </row>
    <row r="15" spans="1:8" ht="15">
      <c r="A15" s="46" t="str">
        <f>HLOOKUP(INDICE!$F$2,Nombres!$C$3:$D$636,40,FALSE)</f>
        <v>  Personnel expenses</v>
      </c>
      <c r="B15" s="44">
        <v>-128.02741824999998</v>
      </c>
      <c r="C15" s="44">
        <v>-125.99260060000003</v>
      </c>
      <c r="D15" s="44">
        <v>-134.82299718</v>
      </c>
      <c r="E15" s="45">
        <v>-138.48228038000002</v>
      </c>
      <c r="F15" s="44">
        <v>-133.04552662999998</v>
      </c>
      <c r="G15" s="44">
        <v>-147.30786006</v>
      </c>
      <c r="H15" s="44">
        <v>-144.29076262</v>
      </c>
    </row>
    <row r="16" spans="1:8" ht="15">
      <c r="A16" s="46" t="str">
        <f>HLOOKUP(INDICE!$F$2,Nombres!$C$3:$D$636,41,FALSE)</f>
        <v>  General and administrative expenses</v>
      </c>
      <c r="B16" s="44">
        <v>-28.271627840000015</v>
      </c>
      <c r="C16" s="44">
        <v>-45.41862035</v>
      </c>
      <c r="D16" s="44">
        <v>-44.550511399999984</v>
      </c>
      <c r="E16" s="45">
        <v>-25.939611860000017</v>
      </c>
      <c r="F16" s="44">
        <v>-62.79121589</v>
      </c>
      <c r="G16" s="44">
        <v>-47.88189384000001</v>
      </c>
      <c r="H16" s="44">
        <v>-41.84556183</v>
      </c>
    </row>
    <row r="17" spans="1:8" ht="15">
      <c r="A17" s="43" t="str">
        <f>HLOOKUP(INDICE!$F$2,Nombres!$C$3:$D$636,42,FALSE)</f>
        <v>  Depreciation</v>
      </c>
      <c r="B17" s="44">
        <v>-55.94715151999999</v>
      </c>
      <c r="C17" s="44">
        <v>-49.159104619999994</v>
      </c>
      <c r="D17" s="44">
        <v>-48.06136285</v>
      </c>
      <c r="E17" s="45">
        <v>-46.38275169999999</v>
      </c>
      <c r="F17" s="44">
        <v>-43.359296519999994</v>
      </c>
      <c r="G17" s="44">
        <v>-47.485128509999996</v>
      </c>
      <c r="H17" s="44">
        <v>-49.542140509999996</v>
      </c>
    </row>
    <row r="18" spans="1:8" ht="15">
      <c r="A18" s="41" t="str">
        <f>HLOOKUP(INDICE!$F$2,Nombres!$C$3:$D$636,43,FALSE)</f>
        <v>Operating income</v>
      </c>
      <c r="B18" s="41">
        <f>+B12+B13</f>
        <v>-314.1230245</v>
      </c>
      <c r="C18" s="41">
        <f aca="true" t="shared" si="1" ref="C18:H18">+C12+C13</f>
        <v>-306.9680547800001</v>
      </c>
      <c r="D18" s="41">
        <f t="shared" si="1"/>
        <v>-353.94017988999985</v>
      </c>
      <c r="E18" s="42">
        <f t="shared" si="1"/>
        <v>-315.63729837000005</v>
      </c>
      <c r="F18" s="52">
        <f t="shared" si="1"/>
        <v>-346.30738253999994</v>
      </c>
      <c r="G18" s="52">
        <f t="shared" si="1"/>
        <v>-371.66920549</v>
      </c>
      <c r="H18" s="52">
        <f t="shared" si="1"/>
        <v>-307.50962850999986</v>
      </c>
    </row>
    <row r="19" spans="1:8" ht="15">
      <c r="A19" s="43" t="str">
        <f>HLOOKUP(INDICE!$F$2,Nombres!$C$3:$D$636,44,FALSE)</f>
        <v>Impaiment on financial assets not measured at fair value through profit or loss</v>
      </c>
      <c r="B19" s="44">
        <v>-0.08718438999999048</v>
      </c>
      <c r="C19" s="44">
        <v>0.023203270000004855</v>
      </c>
      <c r="D19" s="44">
        <v>0.10603273999999122</v>
      </c>
      <c r="E19" s="45">
        <v>-2.426242700000101</v>
      </c>
      <c r="F19" s="44">
        <v>-0.6006018300000426</v>
      </c>
      <c r="G19" s="44">
        <v>0.309352980000032</v>
      </c>
      <c r="H19" s="44">
        <v>0.6034008499999695</v>
      </c>
    </row>
    <row r="20" spans="1:8" ht="15">
      <c r="A20" s="43" t="str">
        <f>HLOOKUP(INDICE!$F$2,Nombres!$C$3:$D$636,45,FALSE)</f>
        <v>Provisions or reversal of provisions and other results</v>
      </c>
      <c r="B20" s="44">
        <v>-61.870771029999965</v>
      </c>
      <c r="C20" s="44">
        <v>-15.348359030000012</v>
      </c>
      <c r="D20" s="44">
        <v>23.304902489999947</v>
      </c>
      <c r="E20" s="45">
        <v>17.679607320000105</v>
      </c>
      <c r="F20" s="44">
        <v>-22.88186791</v>
      </c>
      <c r="G20" s="44">
        <v>-20.918650219999954</v>
      </c>
      <c r="H20" s="44">
        <v>-19.961631140000005</v>
      </c>
    </row>
    <row r="21" spans="1:8" ht="15">
      <c r="A21" s="41" t="str">
        <f>HLOOKUP(INDICE!$F$2,Nombres!$C$3:$D$636,46,FALSE)</f>
        <v>Profit/(loss) before tax</v>
      </c>
      <c r="B21" s="41">
        <f>+B18+B19+B20</f>
        <v>-376.08097991999995</v>
      </c>
      <c r="C21" s="41">
        <f aca="true" t="shared" si="2" ref="C21:H21">+C18+C19+C20</f>
        <v>-322.29321054000013</v>
      </c>
      <c r="D21" s="41">
        <f t="shared" si="2"/>
        <v>-330.5292446599999</v>
      </c>
      <c r="E21" s="42">
        <f t="shared" si="2"/>
        <v>-300.38393375000004</v>
      </c>
      <c r="F21" s="52">
        <f t="shared" si="2"/>
        <v>-369.78985227999993</v>
      </c>
      <c r="G21" s="52">
        <f t="shared" si="2"/>
        <v>-392.27850272999996</v>
      </c>
      <c r="H21" s="52">
        <f t="shared" si="2"/>
        <v>-326.8678587999999</v>
      </c>
    </row>
    <row r="22" spans="1:8" ht="15">
      <c r="A22" s="43" t="str">
        <f>HLOOKUP(INDICE!$F$2,Nombres!$C$3:$D$636,47,FALSE)</f>
        <v>Income tax</v>
      </c>
      <c r="B22" s="44">
        <v>94.33388393999998</v>
      </c>
      <c r="C22" s="44">
        <v>55.94993815000001</v>
      </c>
      <c r="D22" s="44">
        <v>90.87358235000008</v>
      </c>
      <c r="E22" s="45">
        <v>33.02797965999999</v>
      </c>
      <c r="F22" s="44">
        <v>83.64395681</v>
      </c>
      <c r="G22" s="44">
        <v>72.46952544999999</v>
      </c>
      <c r="H22" s="44">
        <v>46.7353706</v>
      </c>
    </row>
    <row r="23" spans="1:8" ht="15">
      <c r="A23" s="41" t="str">
        <f>HLOOKUP(INDICE!$F$2,Nombres!$C$3:$D$636,99,FALSE)</f>
        <v>Result after continuing operation tax</v>
      </c>
      <c r="B23" s="41">
        <f>+B21+B22</f>
        <v>-281.74709598</v>
      </c>
      <c r="C23" s="41">
        <f aca="true" t="shared" si="3" ref="C23:H23">+C21+C22</f>
        <v>-266.34327239000015</v>
      </c>
      <c r="D23" s="41">
        <f t="shared" si="3"/>
        <v>-239.65566230999983</v>
      </c>
      <c r="E23" s="42">
        <f t="shared" si="3"/>
        <v>-267.35595409000007</v>
      </c>
      <c r="F23" s="52">
        <f t="shared" si="3"/>
        <v>-286.1458954699999</v>
      </c>
      <c r="G23" s="52">
        <f t="shared" si="3"/>
        <v>-319.80897727999997</v>
      </c>
      <c r="H23" s="52">
        <f t="shared" si="3"/>
        <v>-280.1324881999999</v>
      </c>
    </row>
    <row r="24" spans="1:8" ht="15">
      <c r="A24" s="43" t="str">
        <f>HLOOKUP(INDICE!$F$2,Nombres!$C$3:$D$636,100,FALSE)</f>
        <v>Result from corporate operations (*)</v>
      </c>
      <c r="B24" s="44">
        <v>0</v>
      </c>
      <c r="C24" s="44">
        <v>0</v>
      </c>
      <c r="D24" s="44">
        <v>633.305</v>
      </c>
      <c r="E24" s="45">
        <v>-0.21499999999991815</v>
      </c>
      <c r="F24" s="44" t="s">
        <v>407</v>
      </c>
      <c r="G24" s="44" t="s">
        <v>407</v>
      </c>
      <c r="H24" s="44" t="s">
        <v>407</v>
      </c>
    </row>
    <row r="25" spans="1:8" ht="15">
      <c r="A25" s="41" t="str">
        <f>HLOOKUP(INDICE!$F$2,Nombres!$C$3:$D$636,48,FALSE)</f>
        <v>Profit/(loss) for the year</v>
      </c>
      <c r="B25" s="41">
        <f>+B23+B24</f>
        <v>-281.74709598</v>
      </c>
      <c r="C25" s="41">
        <f aca="true" t="shared" si="4" ref="C25:H25">+C23+C24</f>
        <v>-266.34327239000015</v>
      </c>
      <c r="D25" s="41">
        <f t="shared" si="4"/>
        <v>393.64933769000015</v>
      </c>
      <c r="E25" s="42">
        <f t="shared" si="4"/>
        <v>-267.57095409</v>
      </c>
      <c r="F25" s="52">
        <f t="shared" si="4"/>
        <v>-286.1458954699999</v>
      </c>
      <c r="G25" s="52">
        <f t="shared" si="4"/>
        <v>-319.80897727999997</v>
      </c>
      <c r="H25" s="52">
        <f t="shared" si="4"/>
        <v>-280.1324881999999</v>
      </c>
    </row>
    <row r="26" spans="1:8" ht="15">
      <c r="A26" s="43" t="str">
        <f>HLOOKUP(INDICE!$F$2,Nombres!$C$3:$D$636,49,FALSE)</f>
        <v>Non-controlling interests</v>
      </c>
      <c r="B26" s="44">
        <v>-0.13130166</v>
      </c>
      <c r="C26" s="44">
        <v>-10.105461850000001</v>
      </c>
      <c r="D26" s="44">
        <v>13.48500755</v>
      </c>
      <c r="E26" s="45">
        <v>-0.5775559600000001</v>
      </c>
      <c r="F26" s="44">
        <v>-0.013468560000000074</v>
      </c>
      <c r="G26" s="44">
        <v>-10.470184240000002</v>
      </c>
      <c r="H26" s="44">
        <v>5.36667078</v>
      </c>
    </row>
    <row r="27" spans="1:8" ht="15">
      <c r="A27" s="47" t="str">
        <f>HLOOKUP(INDICE!$F$2,Nombres!$C$3:$D$636,50,FALSE)</f>
        <v>Net attributable profit</v>
      </c>
      <c r="B27" s="47">
        <f>+B25+B26</f>
        <v>-281.87839764</v>
      </c>
      <c r="C27" s="47">
        <f aca="true" t="shared" si="5" ref="C27:H27">+C25+C26</f>
        <v>-276.44873424000014</v>
      </c>
      <c r="D27" s="47">
        <f t="shared" si="5"/>
        <v>407.13434524000013</v>
      </c>
      <c r="E27" s="47">
        <f t="shared" si="5"/>
        <v>-268.14851004999997</v>
      </c>
      <c r="F27" s="47">
        <f t="shared" si="5"/>
        <v>-286.1593640299999</v>
      </c>
      <c r="G27" s="47">
        <f t="shared" si="5"/>
        <v>-330.27916151999995</v>
      </c>
      <c r="H27" s="47">
        <f t="shared" si="5"/>
        <v>-274.7658174199999</v>
      </c>
    </row>
    <row r="28" spans="1:8" ht="15">
      <c r="A28" s="47" t="str">
        <f>HLOOKUP(INDICE!$F$2,Nombres!$C$3:$D$636,101,FALSE)</f>
        <v>Attributable profit without corporate transactions </v>
      </c>
      <c r="B28" s="47">
        <f>+B23+B26</f>
        <v>-281.87839764</v>
      </c>
      <c r="C28" s="47">
        <f aca="true" t="shared" si="6" ref="C28:H28">+C23+C26</f>
        <v>-276.44873424000014</v>
      </c>
      <c r="D28" s="47">
        <f t="shared" si="6"/>
        <v>-226.17065475999982</v>
      </c>
      <c r="E28" s="47">
        <f t="shared" si="6"/>
        <v>-267.93351005000005</v>
      </c>
      <c r="F28" s="47">
        <f t="shared" si="6"/>
        <v>-286.1593640299999</v>
      </c>
      <c r="G28" s="47">
        <f t="shared" si="6"/>
        <v>-330.27916151999995</v>
      </c>
      <c r="H28" s="47">
        <f t="shared" si="6"/>
        <v>-274.7658174199999</v>
      </c>
    </row>
    <row r="29" spans="1:8" ht="15">
      <c r="A29" s="48"/>
      <c r="B29" s="66">
        <v>0</v>
      </c>
      <c r="C29" s="66">
        <v>0</v>
      </c>
      <c r="D29" s="66">
        <v>2.2737367544323206E-13</v>
      </c>
      <c r="E29" s="66">
        <v>0</v>
      </c>
      <c r="F29" s="66">
        <v>0</v>
      </c>
      <c r="G29" s="66">
        <v>0</v>
      </c>
      <c r="H29" s="66">
        <v>0</v>
      </c>
    </row>
    <row r="30" spans="1:8" ht="15">
      <c r="A30" s="41"/>
      <c r="B30" s="41"/>
      <c r="C30" s="41"/>
      <c r="D30" s="41"/>
      <c r="E30" s="41"/>
      <c r="F30" s="41"/>
      <c r="G30" s="41"/>
      <c r="H30" s="41"/>
    </row>
    <row r="31" spans="1:8" ht="18">
      <c r="A31" s="33" t="str">
        <f>HLOOKUP(INDICE!$F$2,Nombres!$C$3:$D$636,51,FALSE)</f>
        <v>Balance sheets</v>
      </c>
      <c r="B31" s="34"/>
      <c r="C31" s="34"/>
      <c r="D31" s="34"/>
      <c r="E31" s="34"/>
      <c r="F31" s="85"/>
      <c r="G31" s="85"/>
      <c r="H31" s="85"/>
    </row>
    <row r="32" spans="1:8" ht="15">
      <c r="A32" s="35" t="str">
        <f>HLOOKUP(INDICE!$F$2,Nombres!$C$3:$D$636,32,FALSE)</f>
        <v>(Million euros)</v>
      </c>
      <c r="B32" s="30"/>
      <c r="C32" s="54"/>
      <c r="D32" s="54"/>
      <c r="E32" s="54"/>
      <c r="F32" s="83"/>
      <c r="G32" s="81"/>
      <c r="H32" s="81"/>
    </row>
    <row r="33" spans="1:8" ht="15.75">
      <c r="A33" s="30"/>
      <c r="B33" s="55">
        <f>+España!B30</f>
        <v>43190</v>
      </c>
      <c r="C33" s="55">
        <f>+España!C30</f>
        <v>43281</v>
      </c>
      <c r="D33" s="55">
        <f>+España!D30</f>
        <v>43373</v>
      </c>
      <c r="E33" s="71">
        <f>+España!E30</f>
        <v>43465</v>
      </c>
      <c r="F33" s="55">
        <f>+España!F30</f>
        <v>43555</v>
      </c>
      <c r="G33" s="55">
        <f>+España!G30</f>
        <v>43646</v>
      </c>
      <c r="H33" s="55">
        <f>+España!H30</f>
        <v>43738</v>
      </c>
    </row>
    <row r="34" spans="1:8" ht="15">
      <c r="A34" s="43" t="str">
        <f>HLOOKUP(INDICE!$F$2,Nombres!$C$3:$D$636,52,FALSE)</f>
        <v>Cash, cash balances at central banks and other demand deposits</v>
      </c>
      <c r="B34" s="44">
        <v>1840.492439</v>
      </c>
      <c r="C34" s="44">
        <v>1876.436859</v>
      </c>
      <c r="D34" s="44">
        <v>1838.0796049999997</v>
      </c>
      <c r="E34" s="45">
        <v>731.9418659999999</v>
      </c>
      <c r="F34" s="44">
        <v>745.089697</v>
      </c>
      <c r="G34" s="44">
        <v>932.5133789999999</v>
      </c>
      <c r="H34" s="44">
        <v>811.111435</v>
      </c>
    </row>
    <row r="35" spans="1:8" ht="15">
      <c r="A35" s="43" t="str">
        <f>HLOOKUP(INDICE!$F$2,Nombres!$C$3:$D$636,53,FALSE)</f>
        <v>Financial assets designated at fair value </v>
      </c>
      <c r="B35" s="60">
        <v>2884.0566257600003</v>
      </c>
      <c r="C35" s="60">
        <v>2735.2973797199998</v>
      </c>
      <c r="D35" s="60">
        <v>2594.9802205899996</v>
      </c>
      <c r="E35" s="68">
        <v>2738.1506807399996</v>
      </c>
      <c r="F35" s="60">
        <v>2731.81813044</v>
      </c>
      <c r="G35" s="60">
        <v>2615.13965364</v>
      </c>
      <c r="H35" s="60">
        <v>2609.87743387</v>
      </c>
    </row>
    <row r="36" spans="1:8" ht="15">
      <c r="A36" s="43" t="str">
        <f>HLOOKUP(INDICE!$F$2,Nombres!$C$3:$D$636,54,FALSE)</f>
        <v>Financial assets at amortized cost</v>
      </c>
      <c r="B36" s="44">
        <v>1292.743484</v>
      </c>
      <c r="C36" s="44">
        <v>919.8645388799998</v>
      </c>
      <c r="D36" s="44">
        <v>731.06254088</v>
      </c>
      <c r="E36" s="45">
        <v>2664.6989229099995</v>
      </c>
      <c r="F36" s="44">
        <v>2293.294965</v>
      </c>
      <c r="G36" s="44">
        <v>2034.1105739999994</v>
      </c>
      <c r="H36" s="44">
        <v>1838.654141</v>
      </c>
    </row>
    <row r="37" spans="1:8" ht="15">
      <c r="A37" s="43" t="str">
        <f>HLOOKUP(INDICE!$F$2,Nombres!$C$3:$D$636,55,FALSE)</f>
        <v>    of which loans and advances to customers</v>
      </c>
      <c r="B37" s="44">
        <v>441.59595099999996</v>
      </c>
      <c r="C37" s="44">
        <v>286.85518288000003</v>
      </c>
      <c r="D37" s="44">
        <v>113.21914988000002</v>
      </c>
      <c r="E37" s="45">
        <v>989.9697269099997</v>
      </c>
      <c r="F37" s="44">
        <v>551.2347950000001</v>
      </c>
      <c r="G37" s="44">
        <v>348.55393100000003</v>
      </c>
      <c r="H37" s="44">
        <v>125.283404</v>
      </c>
    </row>
    <row r="38" spans="1:8" ht="15">
      <c r="A38" s="43" t="str">
        <f>HLOOKUP(INDICE!$F$2,Nombres!$C$3:$D$636,121,FALSE)</f>
        <v>Inter-area positions</v>
      </c>
      <c r="B38" s="44">
        <v>-10940.926070920075</v>
      </c>
      <c r="C38" s="44">
        <v>-12750.433886679879</v>
      </c>
      <c r="D38" s="44">
        <v>-11957.881095599965</v>
      </c>
      <c r="E38" s="45">
        <v>-14025.73067397991</v>
      </c>
      <c r="F38" s="44">
        <v>-13172.992764050025</v>
      </c>
      <c r="G38" s="44">
        <v>-18793.60983855999</v>
      </c>
      <c r="H38" s="44">
        <v>-19144.90094375983</v>
      </c>
    </row>
    <row r="39" spans="1:8" ht="15">
      <c r="A39" s="43" t="str">
        <f>HLOOKUP(INDICE!$F$2,Nombres!$C$3:$D$636,56,FALSE)</f>
        <v>Tangible assets</v>
      </c>
      <c r="B39" s="44">
        <v>1666.042494</v>
      </c>
      <c r="C39" s="44">
        <v>1649.8907000000002</v>
      </c>
      <c r="D39" s="44">
        <v>1586.1265129999997</v>
      </c>
      <c r="E39" s="45">
        <v>1573.384563</v>
      </c>
      <c r="F39" s="44">
        <v>2253.623346</v>
      </c>
      <c r="G39" s="44">
        <v>2232.247159</v>
      </c>
      <c r="H39" s="44">
        <v>2217.066984</v>
      </c>
    </row>
    <row r="40" spans="1:8" ht="15">
      <c r="A40" s="43" t="str">
        <f>HLOOKUP(INDICE!$F$2,Nombres!$C$3:$D$636,57,FALSE)</f>
        <v>Other assets</v>
      </c>
      <c r="B40" s="60">
        <v>20668.094567129974</v>
      </c>
      <c r="C40" s="60">
        <v>21350.975096930008</v>
      </c>
      <c r="D40" s="60">
        <v>20662.210958660016</v>
      </c>
      <c r="E40" s="68">
        <v>22598.18480588999</v>
      </c>
      <c r="F40" s="60">
        <v>21224.08201086001</v>
      </c>
      <c r="G40" s="60">
        <v>21546.215215429995</v>
      </c>
      <c r="H40" s="60">
        <v>22053.14976357</v>
      </c>
    </row>
    <row r="41" spans="1:8" ht="15">
      <c r="A41" s="47" t="str">
        <f>HLOOKUP(INDICE!$F$2,Nombres!$C$3:$D$636,58,FALSE)</f>
        <v>Total assets / Liabilities and equity</v>
      </c>
      <c r="B41" s="53">
        <f aca="true" t="shared" si="7" ref="B41:H41">+B34+B35+B36+B38+B39+B40</f>
        <v>17410.5035389699</v>
      </c>
      <c r="C41" s="53">
        <f t="shared" si="7"/>
        <v>15782.030687850129</v>
      </c>
      <c r="D41" s="53">
        <f t="shared" si="7"/>
        <v>15454.57874253005</v>
      </c>
      <c r="E41" s="84">
        <f t="shared" si="7"/>
        <v>16280.630164560078</v>
      </c>
      <c r="F41" s="53">
        <f t="shared" si="7"/>
        <v>16074.915385249984</v>
      </c>
      <c r="G41" s="53">
        <f t="shared" si="7"/>
        <v>10566.616142510004</v>
      </c>
      <c r="H41" s="53">
        <f t="shared" si="7"/>
        <v>10384.958813680172</v>
      </c>
    </row>
    <row r="42" spans="1:8" ht="15">
      <c r="A42" s="43" t="str">
        <f>HLOOKUP(INDICE!$F$2,Nombres!$C$3:$D$636,59,FALSE)</f>
        <v>Financial liabilities held for trading and designated at fair value through profit or loss</v>
      </c>
      <c r="B42" s="44">
        <v>38.308035</v>
      </c>
      <c r="C42" s="44">
        <v>41.79282800000001</v>
      </c>
      <c r="D42" s="44">
        <v>26.933813</v>
      </c>
      <c r="E42" s="45">
        <v>39.091722</v>
      </c>
      <c r="F42" s="44">
        <v>18.371876000000004</v>
      </c>
      <c r="G42" s="44">
        <v>15.533834999999998</v>
      </c>
      <c r="H42" s="44">
        <v>16.43706</v>
      </c>
    </row>
    <row r="43" spans="1:8" ht="15">
      <c r="A43" s="43" t="str">
        <f>HLOOKUP(INDICE!$F$2,Nombres!$C$3:$D$636,60,FALSE)</f>
        <v>Deposits from central banks and credit institutions</v>
      </c>
      <c r="B43" s="44">
        <v>900.21794578</v>
      </c>
      <c r="C43" s="44">
        <v>906.87776414</v>
      </c>
      <c r="D43" s="44">
        <v>726.44355041</v>
      </c>
      <c r="E43" s="45">
        <v>733.18933395</v>
      </c>
      <c r="F43" s="44">
        <v>739.918989</v>
      </c>
      <c r="G43" s="44">
        <v>873.951211</v>
      </c>
      <c r="H43" s="44">
        <v>737.4197339999998</v>
      </c>
    </row>
    <row r="44" spans="1:8" ht="15.75" customHeight="1">
      <c r="A44" s="43" t="str">
        <f>HLOOKUP(INDICE!$F$2,Nombres!$C$3:$D$636,61,FALSE)</f>
        <v>Deposits from customers</v>
      </c>
      <c r="B44" s="44">
        <v>53.31709712000001</v>
      </c>
      <c r="C44" s="44">
        <v>23.95378939000001</v>
      </c>
      <c r="D44" s="44">
        <v>43.538219240000004</v>
      </c>
      <c r="E44" s="45">
        <v>36.35680616</v>
      </c>
      <c r="F44" s="44">
        <v>280.454084</v>
      </c>
      <c r="G44" s="44">
        <v>302.49585199999996</v>
      </c>
      <c r="H44" s="44">
        <v>311.158118</v>
      </c>
    </row>
    <row r="45" spans="1:8" ht="15">
      <c r="A45" s="43" t="str">
        <f>HLOOKUP(INDICE!$F$2,Nombres!$C$3:$D$636,62,FALSE)</f>
        <v>Debt certificates</v>
      </c>
      <c r="B45" s="44">
        <v>7272.549716620001</v>
      </c>
      <c r="C45" s="44">
        <v>6830.70372236</v>
      </c>
      <c r="D45" s="44">
        <v>7896.082924639999</v>
      </c>
      <c r="E45" s="45">
        <v>8211.85703356</v>
      </c>
      <c r="F45" s="44">
        <v>8520.50442907</v>
      </c>
      <c r="G45" s="44">
        <v>6944.8919174600005</v>
      </c>
      <c r="H45" s="44">
        <v>7985.237321109998</v>
      </c>
    </row>
    <row r="46" spans="1:8" ht="15">
      <c r="A46" s="43" t="str">
        <f>HLOOKUP(INDICE!$F$2,Nombres!$C$3:$D$636,122,FALSE)</f>
        <v>Inter-area positions</v>
      </c>
      <c r="B46" s="44">
        <v>-21214.809532240004</v>
      </c>
      <c r="C46" s="44">
        <v>-21952.290929510018</v>
      </c>
      <c r="D46" s="44">
        <v>-22795.17127737003</v>
      </c>
      <c r="E46" s="45">
        <v>-22807.956215359984</v>
      </c>
      <c r="F46" s="44">
        <v>-25745.708345679923</v>
      </c>
      <c r="G46" s="44">
        <v>-28821.96588844</v>
      </c>
      <c r="H46" s="44">
        <v>-29988.27625154995</v>
      </c>
    </row>
    <row r="47" spans="1:8" ht="15">
      <c r="A47" s="43" t="str">
        <f>HLOOKUP(INDICE!$F$2,Nombres!$C$3:$D$636,63,FALSE)</f>
        <v>Other liabilities</v>
      </c>
      <c r="B47" s="44">
        <f aca="true" t="shared" si="8" ref="B47:H47">+B41-B42-B43-B44-B45-B46-B48-B49</f>
        <v>4541.57473308991</v>
      </c>
      <c r="C47" s="44">
        <f t="shared" si="8"/>
        <v>3363.1400179301418</v>
      </c>
      <c r="D47" s="44">
        <f t="shared" si="8"/>
        <v>2190.4244651600893</v>
      </c>
      <c r="E47" s="45">
        <f t="shared" si="8"/>
        <v>1974.820923440071</v>
      </c>
      <c r="F47" s="44">
        <f t="shared" si="8"/>
        <v>1080.099839859904</v>
      </c>
      <c r="G47" s="44">
        <f t="shared" si="8"/>
        <v>197.12597801999073</v>
      </c>
      <c r="H47" s="44">
        <f t="shared" si="8"/>
        <v>682.2569455301273</v>
      </c>
    </row>
    <row r="48" spans="1:8" ht="15">
      <c r="A48" s="43" t="str">
        <f>HLOOKUP(INDICE!$F$2,Nombres!$C$3:$D$636,64,FALSE)</f>
        <v>Economic capital allocated</v>
      </c>
      <c r="B48" s="44">
        <f>-España!B45-EEUU!B45-Mexico!B43-Turquia!B43-AdS!B43-'Resto de Eurasia'!B45</f>
        <v>-24488.364672019994</v>
      </c>
      <c r="C48" s="44">
        <f>-España!C45-EEUU!C45-Mexico!C43-Turquia!C43-AdS!C43-'Resto de Eurasia'!C45</f>
        <v>-23509.66566001</v>
      </c>
      <c r="D48" s="44">
        <f>-España!D45-EEUU!D45-Mexico!D43-Turquia!D43-AdS!D43-'Resto de Eurasia'!D45</f>
        <v>-22523.84795358</v>
      </c>
      <c r="E48" s="45">
        <f>-España!E45-EEUU!E45-Mexico!E43-Turquia!E43-AdS!E43-'Resto de Eurasia'!E45</f>
        <v>-21833.450436219995</v>
      </c>
      <c r="F48" s="44">
        <f>-España!F45-EEUU!F45-Mexico!F43-Turquia!F43-AdS!F43-'Resto de Eurasia'!F45</f>
        <v>-22159.42149</v>
      </c>
      <c r="G48" s="44">
        <f>-España!G45-EEUU!G45-Mexico!G43-Turquia!G43-AdS!G43-'Resto de Eurasia'!G45</f>
        <v>-22442.13698519</v>
      </c>
      <c r="H48" s="44">
        <f>-España!H45-EEUU!H45-Mexico!H43-Turquia!H43-AdS!H43-'Resto de Eurasia'!H45</f>
        <v>-22792.788108389996</v>
      </c>
    </row>
    <row r="49" spans="1:8" ht="15">
      <c r="A49" s="43" t="str">
        <f>HLOOKUP(INDICE!$F$2,Nombres!$C$3:$D$636,187,FALSE)</f>
        <v>Shareholders' funds</v>
      </c>
      <c r="B49" s="44">
        <v>50307.71021561999</v>
      </c>
      <c r="C49" s="44">
        <v>50077.519155550006</v>
      </c>
      <c r="D49" s="44">
        <v>49890.175001029995</v>
      </c>
      <c r="E49" s="45">
        <v>49926.72099702999</v>
      </c>
      <c r="F49" s="44">
        <v>53340.696003000005</v>
      </c>
      <c r="G49" s="44">
        <v>53496.72022266002</v>
      </c>
      <c r="H49" s="44">
        <v>53433.51399497999</v>
      </c>
    </row>
    <row r="50" spans="1:8" ht="15">
      <c r="A50" s="65"/>
      <c r="B50" s="60"/>
      <c r="C50" s="60"/>
      <c r="D50" s="60"/>
      <c r="E50" s="60"/>
      <c r="F50" s="44"/>
      <c r="G50" s="44"/>
      <c r="H50" s="44"/>
    </row>
    <row r="51" spans="1:8" ht="15">
      <c r="A51" s="43"/>
      <c r="B51" s="60"/>
      <c r="C51" s="60"/>
      <c r="D51" s="60"/>
      <c r="E51" s="60"/>
      <c r="F51" s="44"/>
      <c r="G51" s="44"/>
      <c r="H51" s="44"/>
    </row>
    <row r="52" spans="1:8" ht="15">
      <c r="A52" s="43"/>
      <c r="B52" s="60"/>
      <c r="C52" s="60"/>
      <c r="D52" s="60"/>
      <c r="E52" s="60"/>
      <c r="F52" s="44"/>
      <c r="G52" s="44"/>
      <c r="H52" s="44"/>
    </row>
    <row r="53" spans="1:8" ht="15">
      <c r="A53" s="35"/>
      <c r="B53" s="30"/>
      <c r="C53" s="30"/>
      <c r="D53" s="30"/>
      <c r="E53" s="30"/>
      <c r="F53" s="73"/>
      <c r="G53" s="44"/>
      <c r="H53" s="44"/>
    </row>
    <row r="54" spans="1:8" ht="15.75">
      <c r="A54" s="30"/>
      <c r="B54" s="55"/>
      <c r="C54" s="55"/>
      <c r="D54" s="55"/>
      <c r="E54" s="55"/>
      <c r="F54" s="55"/>
      <c r="G54" s="55"/>
      <c r="H54" s="55"/>
    </row>
    <row r="55" spans="1:8" ht="15">
      <c r="A55" s="43"/>
      <c r="B55" s="44"/>
      <c r="C55" s="44"/>
      <c r="D55" s="44"/>
      <c r="E55" s="44"/>
      <c r="F55" s="44"/>
      <c r="G55" s="44"/>
      <c r="H55" s="44"/>
    </row>
    <row r="56" spans="1:8" ht="15">
      <c r="A56" s="43"/>
      <c r="B56" s="44"/>
      <c r="C56" s="44"/>
      <c r="D56" s="44"/>
      <c r="E56" s="44"/>
      <c r="F56" s="44"/>
      <c r="G56" s="44"/>
      <c r="H56" s="44"/>
    </row>
    <row r="57" spans="1:8" ht="15">
      <c r="A57" s="43"/>
      <c r="B57" s="44"/>
      <c r="C57" s="44"/>
      <c r="D57" s="44"/>
      <c r="E57" s="44"/>
      <c r="F57" s="44"/>
      <c r="G57" s="44"/>
      <c r="H57" s="44"/>
    </row>
    <row r="58" spans="1:8" ht="15">
      <c r="A58" s="43"/>
      <c r="B58" s="44"/>
      <c r="C58" s="44"/>
      <c r="D58" s="44"/>
      <c r="E58" s="44"/>
      <c r="F58" s="44"/>
      <c r="G58" s="44"/>
      <c r="H58" s="44"/>
    </row>
    <row r="59" spans="1:8" ht="15">
      <c r="A59" s="43"/>
      <c r="B59" s="44"/>
      <c r="C59" s="44"/>
      <c r="D59" s="44"/>
      <c r="E59" s="44"/>
      <c r="F59" s="44"/>
      <c r="G59" s="44"/>
      <c r="H59" s="44"/>
    </row>
    <row r="60" spans="1:8" ht="15">
      <c r="A60" s="65"/>
      <c r="B60" s="60"/>
      <c r="C60" s="60"/>
      <c r="D60" s="60"/>
      <c r="E60" s="60"/>
      <c r="F60" s="44"/>
      <c r="G60" s="44"/>
      <c r="H60" s="44"/>
    </row>
    <row r="61" spans="1:8" ht="15">
      <c r="A61" s="65"/>
      <c r="B61" s="30"/>
      <c r="C61" s="30"/>
      <c r="D61" s="30"/>
      <c r="E61" s="30"/>
      <c r="F61" s="73"/>
      <c r="G61" s="73"/>
      <c r="H61" s="73"/>
    </row>
    <row r="62" spans="1:8" ht="15">
      <c r="A62" s="65"/>
      <c r="B62" s="30"/>
      <c r="C62" s="30"/>
      <c r="D62" s="30"/>
      <c r="E62" s="30"/>
      <c r="F62" s="73"/>
      <c r="G62" s="73"/>
      <c r="H62" s="73"/>
    </row>
    <row r="63" spans="5:8" ht="15">
      <c r="E63" s="78"/>
      <c r="F63" s="99"/>
      <c r="G63" s="86"/>
      <c r="H63" s="86"/>
    </row>
    <row r="64" spans="6:8" ht="15">
      <c r="F64" s="86"/>
      <c r="G64" s="86"/>
      <c r="H64" s="86"/>
    </row>
    <row r="65" spans="6:8" ht="15">
      <c r="F65" s="86"/>
      <c r="G65" s="86"/>
      <c r="H65" s="86"/>
    </row>
    <row r="66" spans="6:8" ht="15">
      <c r="F66" s="86"/>
      <c r="G66" s="86"/>
      <c r="H66" s="86"/>
    </row>
    <row r="67" spans="6:8" ht="15">
      <c r="F67" s="86"/>
      <c r="G67" s="86"/>
      <c r="H67" s="86"/>
    </row>
    <row r="68" spans="6:8" ht="15">
      <c r="F68" s="86"/>
      <c r="G68" s="86"/>
      <c r="H68" s="86"/>
    </row>
    <row r="69" spans="6:8" ht="15">
      <c r="F69" s="86"/>
      <c r="G69" s="86"/>
      <c r="H69" s="86"/>
    </row>
    <row r="70" spans="6:8" ht="15">
      <c r="F70" s="86"/>
      <c r="G70" s="86"/>
      <c r="H70" s="86"/>
    </row>
    <row r="71" spans="6:8" ht="15">
      <c r="F71" s="86"/>
      <c r="G71" s="86"/>
      <c r="H71" s="86"/>
    </row>
    <row r="72" spans="6:8" ht="15">
      <c r="F72" s="86"/>
      <c r="G72" s="86"/>
      <c r="H72" s="86"/>
    </row>
    <row r="73" spans="6:8" ht="15">
      <c r="F73" s="86"/>
      <c r="G73" s="86"/>
      <c r="H73" s="86"/>
    </row>
    <row r="74" spans="6:8" ht="15">
      <c r="F74" s="86"/>
      <c r="G74" s="86"/>
      <c r="H74" s="86"/>
    </row>
    <row r="75" spans="6:8" ht="15">
      <c r="F75" s="86"/>
      <c r="G75" s="86"/>
      <c r="H75" s="86"/>
    </row>
    <row r="76" spans="6:8" ht="15">
      <c r="F76" s="86"/>
      <c r="G76" s="86"/>
      <c r="H76" s="86"/>
    </row>
    <row r="77" spans="6:8" ht="15">
      <c r="F77" s="86"/>
      <c r="G77" s="86"/>
      <c r="H77" s="86"/>
    </row>
    <row r="78" spans="6:8" ht="15">
      <c r="F78" s="86"/>
      <c r="G78" s="86"/>
      <c r="H78" s="86"/>
    </row>
    <row r="79" spans="6:8" ht="15">
      <c r="F79" s="86"/>
      <c r="G79" s="86"/>
      <c r="H79" s="86"/>
    </row>
    <row r="80" spans="6:8" ht="15">
      <c r="F80" s="86"/>
      <c r="G80" s="86"/>
      <c r="H80" s="86"/>
    </row>
    <row r="81" spans="6:8" ht="15">
      <c r="F81" s="86"/>
      <c r="G81" s="86"/>
      <c r="H81" s="86"/>
    </row>
    <row r="82" spans="6:8" ht="15">
      <c r="F82" s="86"/>
      <c r="G82" s="86"/>
      <c r="H82" s="86"/>
    </row>
    <row r="83" spans="6:8" ht="15">
      <c r="F83" s="86"/>
      <c r="G83" s="86"/>
      <c r="H83" s="86"/>
    </row>
    <row r="84" spans="6:8" ht="15">
      <c r="F84" s="86"/>
      <c r="G84" s="86"/>
      <c r="H84" s="86"/>
    </row>
    <row r="85" spans="6:8" ht="15">
      <c r="F85" s="86"/>
      <c r="G85" s="86"/>
      <c r="H85" s="86"/>
    </row>
    <row r="86" spans="6:8" ht="15">
      <c r="F86" s="86"/>
      <c r="G86" s="86"/>
      <c r="H86" s="86"/>
    </row>
    <row r="87" spans="6:8" ht="15">
      <c r="F87" s="86"/>
      <c r="G87" s="86"/>
      <c r="H87" s="86"/>
    </row>
    <row r="88" spans="6:8" ht="15">
      <c r="F88" s="86"/>
      <c r="G88" s="86"/>
      <c r="H88" s="86"/>
    </row>
    <row r="89" spans="6:8" ht="15">
      <c r="F89" s="86"/>
      <c r="G89" s="86"/>
      <c r="H89" s="86"/>
    </row>
    <row r="90" spans="6:8" ht="15">
      <c r="F90" s="86"/>
      <c r="G90" s="86"/>
      <c r="H90" s="86"/>
    </row>
    <row r="91" spans="6:8" ht="15">
      <c r="F91" s="86"/>
      <c r="G91" s="86"/>
      <c r="H91" s="86"/>
    </row>
    <row r="92" spans="6:8" ht="15">
      <c r="F92" s="86"/>
      <c r="G92" s="86"/>
      <c r="H92" s="86"/>
    </row>
    <row r="93" spans="6:8" ht="15">
      <c r="F93" s="86"/>
      <c r="G93" s="86"/>
      <c r="H93" s="86"/>
    </row>
    <row r="94" spans="6:8" ht="15">
      <c r="F94" s="86"/>
      <c r="G94" s="86"/>
      <c r="H94" s="86"/>
    </row>
    <row r="95" spans="6:8" ht="15">
      <c r="F95" s="86"/>
      <c r="G95" s="86"/>
      <c r="H95" s="86"/>
    </row>
    <row r="96" spans="6:8" ht="15">
      <c r="F96" s="86"/>
      <c r="G96" s="86"/>
      <c r="H96" s="86"/>
    </row>
    <row r="97" spans="6:8" ht="15">
      <c r="F97" s="86"/>
      <c r="G97" s="86"/>
      <c r="H97" s="86"/>
    </row>
    <row r="98" spans="6:8" ht="15">
      <c r="F98" s="86"/>
      <c r="G98" s="86"/>
      <c r="H98" s="86"/>
    </row>
    <row r="99" spans="6:8" ht="15">
      <c r="F99" s="86"/>
      <c r="G99" s="86"/>
      <c r="H99" s="86"/>
    </row>
    <row r="100" spans="6:8" ht="15">
      <c r="F100" s="86"/>
      <c r="G100" s="86"/>
      <c r="H100" s="86"/>
    </row>
    <row r="101" spans="6:8" ht="15">
      <c r="F101" s="86"/>
      <c r="G101" s="86"/>
      <c r="H101" s="86"/>
    </row>
    <row r="102" spans="6:8" ht="15">
      <c r="F102" s="86"/>
      <c r="G102" s="86"/>
      <c r="H102" s="86"/>
    </row>
    <row r="103" spans="6:8" ht="15">
      <c r="F103" s="86"/>
      <c r="G103" s="86"/>
      <c r="H103" s="86"/>
    </row>
    <row r="104" spans="6:8" ht="15">
      <c r="F104" s="86"/>
      <c r="G104" s="86"/>
      <c r="H104" s="86"/>
    </row>
    <row r="105" spans="6:8" ht="15">
      <c r="F105" s="86"/>
      <c r="G105" s="86"/>
      <c r="H105" s="86"/>
    </row>
    <row r="106" spans="6:8" ht="15">
      <c r="F106" s="86"/>
      <c r="G106" s="86"/>
      <c r="H106" s="86"/>
    </row>
    <row r="107" spans="6:8" ht="15">
      <c r="F107" s="86"/>
      <c r="G107" s="86"/>
      <c r="H107" s="86"/>
    </row>
    <row r="108" spans="6:8" ht="15">
      <c r="F108" s="86"/>
      <c r="G108" s="86"/>
      <c r="H108" s="86"/>
    </row>
    <row r="117" spans="6:8" ht="15">
      <c r="F117" s="86"/>
      <c r="G117" s="86"/>
      <c r="H117" s="86"/>
    </row>
    <row r="118" spans="6:8" ht="15">
      <c r="F118" s="86"/>
      <c r="G118" s="86"/>
      <c r="H118" s="86"/>
    </row>
    <row r="119" spans="6:8" ht="15">
      <c r="F119" s="86"/>
      <c r="G119" s="86"/>
      <c r="H119" s="86"/>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63" spans="6:8" ht="15">
      <c r="F163" s="86"/>
      <c r="G163" s="86"/>
      <c r="H163" s="86"/>
    </row>
    <row r="1000" ht="15">
      <c r="A1000" s="31" t="s">
        <v>406</v>
      </c>
    </row>
  </sheetData>
  <sheetProtection/>
  <mergeCells count="2">
    <mergeCell ref="B6:E6"/>
    <mergeCell ref="F6:H6"/>
  </mergeCells>
  <conditionalFormatting sqref="B29:H29">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HLOOKUP(INDICE!$F$2,Nombres!$C$3:$D$636,21,FALSE)</f>
        <v>Corporate &amp; Investment Banking</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330.1654546599999</v>
      </c>
      <c r="C8" s="41">
        <v>339.01038546</v>
      </c>
      <c r="D8" s="41">
        <v>398.7649780799999</v>
      </c>
      <c r="E8" s="42">
        <v>410.89702233000025</v>
      </c>
      <c r="F8" s="52">
        <v>367.27295457000025</v>
      </c>
      <c r="G8" s="52">
        <v>401.2133376799998</v>
      </c>
      <c r="H8" s="52">
        <v>370.46679431000007</v>
      </c>
    </row>
    <row r="9" spans="1:8" ht="15">
      <c r="A9" s="43" t="str">
        <f>HLOOKUP(INDICE!$F$2,Nombres!$C$3:$D$636,34,FALSE)</f>
        <v>Net fees and commissions</v>
      </c>
      <c r="B9" s="44">
        <v>180.42775502</v>
      </c>
      <c r="C9" s="44">
        <v>196.49997059999998</v>
      </c>
      <c r="D9" s="44">
        <v>161.66026178999996</v>
      </c>
      <c r="E9" s="45">
        <v>156.40048366000002</v>
      </c>
      <c r="F9" s="44">
        <v>169.68585523999997</v>
      </c>
      <c r="G9" s="44">
        <v>174.08709848</v>
      </c>
      <c r="H9" s="44">
        <v>192.72121071</v>
      </c>
    </row>
    <row r="10" spans="1:8" ht="15">
      <c r="A10" s="43" t="str">
        <f>HLOOKUP(INDICE!$F$2,Nombres!$C$3:$D$636,35,FALSE)</f>
        <v>Net trading income</v>
      </c>
      <c r="B10" s="44">
        <v>272.73636534999997</v>
      </c>
      <c r="C10" s="44">
        <v>227.67645545</v>
      </c>
      <c r="D10" s="44">
        <v>181.39184336</v>
      </c>
      <c r="E10" s="45">
        <v>178.27546269000004</v>
      </c>
      <c r="F10" s="44">
        <v>215.32232574</v>
      </c>
      <c r="G10" s="44">
        <v>149.91194901999998</v>
      </c>
      <c r="H10" s="44">
        <v>203.72423269999996</v>
      </c>
    </row>
    <row r="11" spans="1:8" ht="15">
      <c r="A11" s="43" t="str">
        <f>HLOOKUP(INDICE!$F$2,Nombres!$C$3:$D$636,36,FALSE)</f>
        <v>Other operating income and expenses</v>
      </c>
      <c r="B11" s="44">
        <v>-11.951871610000001</v>
      </c>
      <c r="C11" s="44">
        <v>-6.209038289999999</v>
      </c>
      <c r="D11" s="44">
        <v>-12.07669011</v>
      </c>
      <c r="E11" s="45">
        <v>-10.757568030000002</v>
      </c>
      <c r="F11" s="44">
        <v>-15.03617878</v>
      </c>
      <c r="G11" s="44">
        <v>-11.567433280000001</v>
      </c>
      <c r="H11" s="44">
        <v>-15.00085166</v>
      </c>
    </row>
    <row r="12" spans="1:8" ht="15">
      <c r="A12" s="41" t="str">
        <f>HLOOKUP(INDICE!$F$2,Nombres!$C$3:$D$636,37,FALSE)</f>
        <v>Gross income</v>
      </c>
      <c r="B12" s="41">
        <f>+SUM(B8:B11)</f>
        <v>771.3777034199999</v>
      </c>
      <c r="C12" s="41">
        <f aca="true" t="shared" si="0" ref="C12:H12">+SUM(C8:C11)</f>
        <v>756.9777732200001</v>
      </c>
      <c r="D12" s="41">
        <f t="shared" si="0"/>
        <v>729.7403931199998</v>
      </c>
      <c r="E12" s="42">
        <f t="shared" si="0"/>
        <v>734.8154006500002</v>
      </c>
      <c r="F12" s="52">
        <f t="shared" si="0"/>
        <v>737.2449567700003</v>
      </c>
      <c r="G12" s="52">
        <f t="shared" si="0"/>
        <v>713.6449518999998</v>
      </c>
      <c r="H12" s="52">
        <f t="shared" si="0"/>
        <v>751.9113860600002</v>
      </c>
    </row>
    <row r="13" spans="1:8" ht="15">
      <c r="A13" s="43" t="str">
        <f>HLOOKUP(INDICE!$F$2,Nombres!$C$3:$D$636,38,FALSE)</f>
        <v>Operating expenses</v>
      </c>
      <c r="B13" s="44">
        <v>-264.91940607000004</v>
      </c>
      <c r="C13" s="44">
        <v>-256.93112204</v>
      </c>
      <c r="D13" s="44">
        <v>-254.28344008</v>
      </c>
      <c r="E13" s="45">
        <v>-256.32351052</v>
      </c>
      <c r="F13" s="44">
        <v>-262.09357438</v>
      </c>
      <c r="G13" s="44">
        <v>-263.36366774</v>
      </c>
      <c r="H13" s="44">
        <v>-264.73515720000006</v>
      </c>
    </row>
    <row r="14" spans="1:8" ht="15">
      <c r="A14" s="43" t="str">
        <f>HLOOKUP(INDICE!$F$2,Nombres!$C$3:$D$636,39,FALSE)</f>
        <v>  Administration expenses</v>
      </c>
      <c r="B14" s="44">
        <v>-238.06949871999996</v>
      </c>
      <c r="C14" s="44">
        <v>-229.21232288</v>
      </c>
      <c r="D14" s="44">
        <v>-227.20483293000004</v>
      </c>
      <c r="E14" s="45">
        <v>-229.17917045999997</v>
      </c>
      <c r="F14" s="44">
        <v>-230.28495641</v>
      </c>
      <c r="G14" s="44">
        <v>-231.65073114999996</v>
      </c>
      <c r="H14" s="44">
        <v>-233.29604868000007</v>
      </c>
    </row>
    <row r="15" spans="1:8" ht="15">
      <c r="A15" s="46" t="str">
        <f>HLOOKUP(INDICE!$F$2,Nombres!$C$3:$D$636,40,FALSE)</f>
        <v>  Personnel expenses</v>
      </c>
      <c r="B15" s="44">
        <v>-120.66555629</v>
      </c>
      <c r="C15" s="44">
        <v>-107.38763474999999</v>
      </c>
      <c r="D15" s="44">
        <v>-113.12834025999999</v>
      </c>
      <c r="E15" s="45">
        <v>-111.25218804000001</v>
      </c>
      <c r="F15" s="44">
        <v>-120.07409621</v>
      </c>
      <c r="G15" s="44">
        <v>-116.22512598000002</v>
      </c>
      <c r="H15" s="44">
        <v>-117.87939266</v>
      </c>
    </row>
    <row r="16" spans="1:8" ht="15">
      <c r="A16" s="46" t="str">
        <f>HLOOKUP(INDICE!$F$2,Nombres!$C$3:$D$636,41,FALSE)</f>
        <v>  General and administrative expenses</v>
      </c>
      <c r="B16" s="44">
        <v>-117.40394242999999</v>
      </c>
      <c r="C16" s="44">
        <v>-121.82468813000001</v>
      </c>
      <c r="D16" s="44">
        <v>-114.07649267000001</v>
      </c>
      <c r="E16" s="45">
        <v>-117.92698242</v>
      </c>
      <c r="F16" s="44">
        <v>-110.21086019999998</v>
      </c>
      <c r="G16" s="44">
        <v>-115.42560517000001</v>
      </c>
      <c r="H16" s="44">
        <v>-115.41665602000002</v>
      </c>
    </row>
    <row r="17" spans="1:8" ht="15">
      <c r="A17" s="43" t="str">
        <f>HLOOKUP(INDICE!$F$2,Nombres!$C$3:$D$636,42,FALSE)</f>
        <v>  Depreciation</v>
      </c>
      <c r="B17" s="44">
        <v>-26.849907350000002</v>
      </c>
      <c r="C17" s="44">
        <v>-27.718799159999996</v>
      </c>
      <c r="D17" s="44">
        <v>-27.078607150000003</v>
      </c>
      <c r="E17" s="45">
        <v>-27.144340059999998</v>
      </c>
      <c r="F17" s="44">
        <v>-31.80861797</v>
      </c>
      <c r="G17" s="44">
        <v>-31.71293659</v>
      </c>
      <c r="H17" s="44">
        <v>-31.439108519999998</v>
      </c>
    </row>
    <row r="18" spans="1:8" ht="15">
      <c r="A18" s="41" t="str">
        <f>HLOOKUP(INDICE!$F$2,Nombres!$C$3:$D$636,43,FALSE)</f>
        <v>Operating income</v>
      </c>
      <c r="B18" s="41">
        <f>+B12+B13</f>
        <v>506.45829734999984</v>
      </c>
      <c r="C18" s="41">
        <f aca="true" t="shared" si="1" ref="C18:H18">+C12+C13</f>
        <v>500.04665118000014</v>
      </c>
      <c r="D18" s="41">
        <f t="shared" si="1"/>
        <v>475.4569530399998</v>
      </c>
      <c r="E18" s="42">
        <f t="shared" si="1"/>
        <v>478.49189013000023</v>
      </c>
      <c r="F18" s="52">
        <f t="shared" si="1"/>
        <v>475.15138239000026</v>
      </c>
      <c r="G18" s="52">
        <f t="shared" si="1"/>
        <v>450.2812841599998</v>
      </c>
      <c r="H18" s="52">
        <f t="shared" si="1"/>
        <v>487.1762288600001</v>
      </c>
    </row>
    <row r="19" spans="1:8" ht="15">
      <c r="A19" s="43" t="str">
        <f>HLOOKUP(INDICE!$F$2,Nombres!$C$3:$D$636,44,FALSE)</f>
        <v>Impaiment on financial assets not measured at fair value through profit or loss</v>
      </c>
      <c r="B19" s="44">
        <v>11.43253762999999</v>
      </c>
      <c r="C19" s="44">
        <v>-2.3579289699999912</v>
      </c>
      <c r="D19" s="44">
        <v>-61.386669360000006</v>
      </c>
      <c r="E19" s="45">
        <v>-299.22765867000004</v>
      </c>
      <c r="F19" s="44">
        <v>-54.26807439999999</v>
      </c>
      <c r="G19" s="44">
        <v>-22.60689943</v>
      </c>
      <c r="H19" s="44">
        <v>-76.69532258</v>
      </c>
    </row>
    <row r="20" spans="1:8" ht="15">
      <c r="A20" s="43" t="str">
        <f>HLOOKUP(INDICE!$F$2,Nombres!$C$3:$D$636,45,FALSE)</f>
        <v>Provisions or reversal of provisions and other results</v>
      </c>
      <c r="B20" s="44">
        <v>-25.726903220000004</v>
      </c>
      <c r="C20" s="44">
        <v>4.394630379999998</v>
      </c>
      <c r="D20" s="44">
        <v>-5.7989291</v>
      </c>
      <c r="E20" s="45">
        <v>-9.087026559999996</v>
      </c>
      <c r="F20" s="44">
        <v>3.9235148399999993</v>
      </c>
      <c r="G20" s="44">
        <v>13.361802939999999</v>
      </c>
      <c r="H20" s="44">
        <v>7.03991164</v>
      </c>
    </row>
    <row r="21" spans="1:8" ht="15">
      <c r="A21" s="41" t="str">
        <f>HLOOKUP(INDICE!$F$2,Nombres!$C$3:$D$636,46,FALSE)</f>
        <v>Profit/(loss) before tax</v>
      </c>
      <c r="B21" s="41">
        <f>+B18+B19+B20</f>
        <v>492.1639317599998</v>
      </c>
      <c r="C21" s="41">
        <f aca="true" t="shared" si="2" ref="C21:H21">+C18+C19+C20</f>
        <v>502.0833525900002</v>
      </c>
      <c r="D21" s="41">
        <f t="shared" si="2"/>
        <v>408.2713545799998</v>
      </c>
      <c r="E21" s="42">
        <f t="shared" si="2"/>
        <v>170.1772049000002</v>
      </c>
      <c r="F21" s="52">
        <f t="shared" si="2"/>
        <v>424.80682283000027</v>
      </c>
      <c r="G21" s="52">
        <f t="shared" si="2"/>
        <v>441.03618766999983</v>
      </c>
      <c r="H21" s="52">
        <f t="shared" si="2"/>
        <v>417.5208179200001</v>
      </c>
    </row>
    <row r="22" spans="1:8" ht="15">
      <c r="A22" s="43" t="str">
        <f>HLOOKUP(INDICE!$F$2,Nombres!$C$3:$D$636,47,FALSE)</f>
        <v>Income tax</v>
      </c>
      <c r="B22" s="44">
        <v>-131.38060725999998</v>
      </c>
      <c r="C22" s="44">
        <v>-131.25648715</v>
      </c>
      <c r="D22" s="44">
        <v>-67.24563295000002</v>
      </c>
      <c r="E22" s="45">
        <v>-33.982815120000005</v>
      </c>
      <c r="F22" s="44">
        <v>-105.92998475</v>
      </c>
      <c r="G22" s="44">
        <v>-104.63837828000001</v>
      </c>
      <c r="H22" s="44">
        <v>-118.72319229</v>
      </c>
    </row>
    <row r="23" spans="1:8" ht="15">
      <c r="A23" s="41" t="str">
        <f>HLOOKUP(INDICE!$F$2,Nombres!$C$3:$D$636,48,FALSE)</f>
        <v>Profit/(loss) for the year</v>
      </c>
      <c r="B23" s="41">
        <f>+B21+B22</f>
        <v>360.7833244999998</v>
      </c>
      <c r="C23" s="41">
        <f aca="true" t="shared" si="3" ref="C23:H23">+C21+C22</f>
        <v>370.8268654400002</v>
      </c>
      <c r="D23" s="41">
        <f t="shared" si="3"/>
        <v>341.0257216299998</v>
      </c>
      <c r="E23" s="42">
        <f t="shared" si="3"/>
        <v>136.1943897800002</v>
      </c>
      <c r="F23" s="52">
        <f t="shared" si="3"/>
        <v>318.87683808000025</v>
      </c>
      <c r="G23" s="52">
        <f t="shared" si="3"/>
        <v>336.3978093899998</v>
      </c>
      <c r="H23" s="52">
        <f t="shared" si="3"/>
        <v>298.79762563000014</v>
      </c>
    </row>
    <row r="24" spans="1:8" ht="15">
      <c r="A24" s="43" t="str">
        <f>HLOOKUP(INDICE!$F$2,Nombres!$C$3:$D$636,49,FALSE)</f>
        <v>Non-controlling interests</v>
      </c>
      <c r="B24" s="44">
        <v>-57.030775410000004</v>
      </c>
      <c r="C24" s="44">
        <v>-69.63600518000001</v>
      </c>
      <c r="D24" s="44">
        <v>-92.52773205000001</v>
      </c>
      <c r="E24" s="45">
        <v>30.073682060000024</v>
      </c>
      <c r="F24" s="44">
        <v>-89.26752353</v>
      </c>
      <c r="G24" s="44">
        <v>-76.29853191999999</v>
      </c>
      <c r="H24" s="44">
        <v>-54.40111962000001</v>
      </c>
    </row>
    <row r="25" spans="1:8" ht="15">
      <c r="A25" s="47" t="str">
        <f>HLOOKUP(INDICE!$F$2,Nombres!$C$3:$D$636,50,FALSE)</f>
        <v>Net attributable profit</v>
      </c>
      <c r="B25" s="47">
        <f>+B23+B24</f>
        <v>303.75254908999983</v>
      </c>
      <c r="C25" s="47">
        <f aca="true" t="shared" si="4" ref="C25:H25">+C23+C24</f>
        <v>301.19086026000014</v>
      </c>
      <c r="D25" s="47">
        <f t="shared" si="4"/>
        <v>248.4979895799998</v>
      </c>
      <c r="E25" s="47">
        <f t="shared" si="4"/>
        <v>166.26807184000023</v>
      </c>
      <c r="F25" s="53">
        <f t="shared" si="4"/>
        <v>229.60931455000025</v>
      </c>
      <c r="G25" s="53">
        <f t="shared" si="4"/>
        <v>260.09927746999983</v>
      </c>
      <c r="H25" s="53">
        <f t="shared" si="4"/>
        <v>244.39650601000014</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3604.36520266</v>
      </c>
      <c r="C31" s="44">
        <v>3639.8827018999996</v>
      </c>
      <c r="D31" s="44">
        <v>3480.1528519800004</v>
      </c>
      <c r="E31" s="45">
        <v>5086.541153849999</v>
      </c>
      <c r="F31" s="44">
        <v>6077.906074889997</v>
      </c>
      <c r="G31" s="44">
        <v>4841.23838952</v>
      </c>
      <c r="H31" s="44">
        <v>4683.1521171299955</v>
      </c>
    </row>
    <row r="32" spans="1:8" ht="15">
      <c r="A32" s="43" t="str">
        <f>HLOOKUP(INDICE!$F$2,Nombres!$C$3:$D$636,53,FALSE)</f>
        <v>Financial assets designated at fair value </v>
      </c>
      <c r="B32" s="60">
        <v>100451.36639101001</v>
      </c>
      <c r="C32" s="60">
        <v>99333.06362182999</v>
      </c>
      <c r="D32" s="60">
        <v>93200.23982548999</v>
      </c>
      <c r="E32" s="68">
        <v>92390.71630185998</v>
      </c>
      <c r="F32" s="44">
        <v>94376.97000771998</v>
      </c>
      <c r="G32" s="44">
        <v>108378.37860393999</v>
      </c>
      <c r="H32" s="44">
        <v>112594.44284764</v>
      </c>
    </row>
    <row r="33" spans="1:8" ht="15">
      <c r="A33" s="43" t="str">
        <f>HLOOKUP(INDICE!$F$2,Nombres!$C$3:$D$636,54,FALSE)</f>
        <v>Financial assets at amortized cost</v>
      </c>
      <c r="B33" s="44">
        <v>63677.40576739</v>
      </c>
      <c r="C33" s="44">
        <v>66586.0596253</v>
      </c>
      <c r="D33" s="44">
        <v>63648.83213722</v>
      </c>
      <c r="E33" s="45">
        <v>65167.207424169996</v>
      </c>
      <c r="F33" s="44">
        <v>68391.93797917</v>
      </c>
      <c r="G33" s="44">
        <v>67296.9523824</v>
      </c>
      <c r="H33" s="44">
        <v>74833.80726245</v>
      </c>
    </row>
    <row r="34" spans="1:8" ht="15">
      <c r="A34" s="43" t="str">
        <f>HLOOKUP(INDICE!$F$2,Nombres!$C$3:$D$636,55,FALSE)</f>
        <v>    of which loans and advances to customers</v>
      </c>
      <c r="B34" s="44">
        <v>55392.22604088</v>
      </c>
      <c r="C34" s="44">
        <v>58602.993825770005</v>
      </c>
      <c r="D34" s="44">
        <v>55721.51212846</v>
      </c>
      <c r="E34" s="45">
        <v>58719.603980730004</v>
      </c>
      <c r="F34" s="44">
        <v>61014.270208680005</v>
      </c>
      <c r="G34" s="44">
        <v>58069.127781630006</v>
      </c>
      <c r="H34" s="44">
        <v>62397.83713657</v>
      </c>
    </row>
    <row r="35" spans="1:8" ht="15">
      <c r="A35" s="43" t="str">
        <f>HLOOKUP(INDICE!$F$2,Nombres!$C$3:$D$636,121,FALSE)</f>
        <v>Inter-area positions</v>
      </c>
      <c r="B35" s="44">
        <v>0</v>
      </c>
      <c r="C35" s="44">
        <v>0</v>
      </c>
      <c r="D35" s="44">
        <v>0</v>
      </c>
      <c r="E35" s="45">
        <v>0</v>
      </c>
      <c r="F35" s="44">
        <v>0</v>
      </c>
      <c r="G35" s="44">
        <v>0</v>
      </c>
      <c r="H35" s="44">
        <v>0</v>
      </c>
    </row>
    <row r="36" spans="1:8" ht="15">
      <c r="A36" s="43" t="str">
        <f>HLOOKUP(INDICE!$F$2,Nombres!$C$3:$D$636,56,FALSE)</f>
        <v>Tangible assets</v>
      </c>
      <c r="B36" s="44">
        <v>31.770700840000003</v>
      </c>
      <c r="C36" s="44">
        <v>31.250384909999998</v>
      </c>
      <c r="D36" s="44">
        <v>28.842907120000003</v>
      </c>
      <c r="E36" s="45">
        <v>28.746886179999997</v>
      </c>
      <c r="F36" s="44">
        <v>81.75444513</v>
      </c>
      <c r="G36" s="44">
        <v>75.79484065</v>
      </c>
      <c r="H36" s="44">
        <v>79.90792358000002</v>
      </c>
    </row>
    <row r="37" spans="1:8" ht="15">
      <c r="A37" s="43" t="str">
        <f>HLOOKUP(INDICE!$F$2,Nombres!$C$3:$D$636,57,FALSE)</f>
        <v>Other assets</v>
      </c>
      <c r="B37" s="60">
        <f>+B38-B36-B33-B32-B31-B35</f>
        <v>2946.2651790399864</v>
      </c>
      <c r="C37" s="60">
        <f aca="true" t="shared" si="5" ref="C37:H37">+C38-C36-C33-C32-C31-C35</f>
        <v>4753.000601960028</v>
      </c>
      <c r="D37" s="60">
        <f t="shared" si="5"/>
        <v>3707.946873900005</v>
      </c>
      <c r="E37" s="68">
        <f t="shared" si="5"/>
        <v>2179.0009029300036</v>
      </c>
      <c r="F37" s="60">
        <f t="shared" si="5"/>
        <v>1775.8818671199951</v>
      </c>
      <c r="G37" s="60">
        <f t="shared" si="5"/>
        <v>1889.3842345300254</v>
      </c>
      <c r="H37" s="60">
        <f t="shared" si="5"/>
        <v>13903.98275360001</v>
      </c>
    </row>
    <row r="38" spans="1:8" ht="15">
      <c r="A38" s="47" t="str">
        <f>HLOOKUP(INDICE!$F$2,Nombres!$C$3:$D$636,58,FALSE)</f>
        <v>Total assets / Liabilities and equity</v>
      </c>
      <c r="B38" s="47">
        <v>170711.17324094</v>
      </c>
      <c r="C38" s="47">
        <v>174343.25693590002</v>
      </c>
      <c r="D38" s="47">
        <v>164066.01459571</v>
      </c>
      <c r="E38" s="74">
        <v>164852.21266898996</v>
      </c>
      <c r="F38" s="53">
        <v>170704.45037402998</v>
      </c>
      <c r="G38" s="53">
        <v>182481.74845104</v>
      </c>
      <c r="H38" s="53">
        <v>206095.29290440003</v>
      </c>
    </row>
    <row r="39" spans="1:8" ht="15">
      <c r="A39" s="43" t="str">
        <f>HLOOKUP(INDICE!$F$2,Nombres!$C$3:$D$636,59,FALSE)</f>
        <v>Financial liabilities held for trading and designated at fair value through profit or loss</v>
      </c>
      <c r="B39" s="60">
        <v>79981.6668886</v>
      </c>
      <c r="C39" s="60">
        <v>79183.83590244001</v>
      </c>
      <c r="D39" s="60">
        <v>76674.76200517999</v>
      </c>
      <c r="E39" s="68">
        <v>73163.07650302003</v>
      </c>
      <c r="F39" s="44">
        <v>81685.21006933998</v>
      </c>
      <c r="G39" s="44">
        <v>94044.95004425998</v>
      </c>
      <c r="H39" s="44">
        <v>94136.24491281998</v>
      </c>
    </row>
    <row r="40" spans="1:8" ht="15">
      <c r="A40" s="43" t="str">
        <f>HLOOKUP(INDICE!$F$2,Nombres!$C$3:$D$636,60,FALSE)</f>
        <v>Deposits from central banks and credit institutions</v>
      </c>
      <c r="B40" s="60">
        <v>19630.230764139997</v>
      </c>
      <c r="C40" s="60">
        <v>16149.67528334</v>
      </c>
      <c r="D40" s="60">
        <v>15922.51815435</v>
      </c>
      <c r="E40" s="68">
        <v>19463.79614035</v>
      </c>
      <c r="F40" s="44">
        <v>15403.99929866</v>
      </c>
      <c r="G40" s="44">
        <v>16397.622034480002</v>
      </c>
      <c r="H40" s="44">
        <v>16916.68969179</v>
      </c>
    </row>
    <row r="41" spans="1:8" ht="15.75" customHeight="1">
      <c r="A41" s="43" t="str">
        <f>HLOOKUP(INDICE!$F$2,Nombres!$C$3:$D$636,61,FALSE)</f>
        <v>Deposits from customers</v>
      </c>
      <c r="B41" s="60">
        <v>42942.78805991999</v>
      </c>
      <c r="C41" s="60">
        <v>40569.780647880005</v>
      </c>
      <c r="D41" s="60">
        <v>41081.86821367</v>
      </c>
      <c r="E41" s="68">
        <v>43068.67361285</v>
      </c>
      <c r="F41" s="44">
        <v>35836.627477660004</v>
      </c>
      <c r="G41" s="44">
        <v>33970.27714687</v>
      </c>
      <c r="H41" s="44">
        <v>37267.62865255</v>
      </c>
    </row>
    <row r="42" spans="1:8" ht="15">
      <c r="A42" s="43" t="str">
        <f>HLOOKUP(INDICE!$F$2,Nombres!$C$3:$D$636,62,FALSE)</f>
        <v>Debt certificates</v>
      </c>
      <c r="B42" s="44">
        <v>2394.1225054300003</v>
      </c>
      <c r="C42" s="44">
        <v>2325.9647397300005</v>
      </c>
      <c r="D42" s="44">
        <v>2092.85511555</v>
      </c>
      <c r="E42" s="45">
        <v>1930.9084954900002</v>
      </c>
      <c r="F42" s="44">
        <v>2023.69311082</v>
      </c>
      <c r="G42" s="44">
        <v>2986.10605952</v>
      </c>
      <c r="H42" s="44">
        <v>2430.76057837</v>
      </c>
    </row>
    <row r="43" spans="1:8" ht="15">
      <c r="A43" s="43" t="str">
        <f>HLOOKUP(INDICE!$F$2,Nombres!$C$3:$D$636,122,FALSE)</f>
        <v>Inter-area positions</v>
      </c>
      <c r="B43" s="44">
        <v>16614.902929820004</v>
      </c>
      <c r="C43" s="44">
        <v>26750.74917570004</v>
      </c>
      <c r="D43" s="44">
        <v>21989.925778260018</v>
      </c>
      <c r="E43" s="45">
        <v>19742.0130670199</v>
      </c>
      <c r="F43" s="44">
        <v>30192.120659749984</v>
      </c>
      <c r="G43" s="44">
        <v>27298.60257194008</v>
      </c>
      <c r="H43" s="44">
        <v>46989.03330469006</v>
      </c>
    </row>
    <row r="44" spans="1:8" ht="15">
      <c r="A44" s="43" t="str">
        <f>HLOOKUP(INDICE!$F$2,Nombres!$C$3:$D$636,63,FALSE)</f>
        <v>Other liabilities</v>
      </c>
      <c r="B44" s="60">
        <f>+B38-B39-B40-B41-B42-B45-B43</f>
        <v>5793.99636355001</v>
      </c>
      <c r="C44" s="60">
        <f aca="true" t="shared" si="6" ref="C44:H44">+C38-C39-C40-C41-C42-C45-C43</f>
        <v>6229.944084099967</v>
      </c>
      <c r="D44" s="60">
        <f t="shared" si="6"/>
        <v>3162.5317181499886</v>
      </c>
      <c r="E44" s="68">
        <f t="shared" si="6"/>
        <v>4347.608210820028</v>
      </c>
      <c r="F44" s="60">
        <f t="shared" si="6"/>
        <v>1400.7159115700124</v>
      </c>
      <c r="G44" s="60">
        <f t="shared" si="6"/>
        <v>4097.003580749937</v>
      </c>
      <c r="H44" s="60">
        <f t="shared" si="6"/>
        <v>4277.464230239988</v>
      </c>
    </row>
    <row r="45" spans="1:8" ht="15">
      <c r="A45" s="43" t="str">
        <f>HLOOKUP(INDICE!$F$2,Nombres!$C$3:$D$636,64,FALSE)</f>
        <v>Economic capital allocated</v>
      </c>
      <c r="B45" s="44">
        <v>3353.46572948</v>
      </c>
      <c r="C45" s="44">
        <v>3133.30710271</v>
      </c>
      <c r="D45" s="44">
        <v>3141.55361055</v>
      </c>
      <c r="E45" s="45">
        <v>3136.13663944</v>
      </c>
      <c r="F45" s="44">
        <v>4162.08384623</v>
      </c>
      <c r="G45" s="44">
        <v>3687.1870132199997</v>
      </c>
      <c r="H45" s="44">
        <v>4077.47153394</v>
      </c>
    </row>
    <row r="46" spans="1:8" ht="15">
      <c r="A46" s="65"/>
      <c r="B46" s="60"/>
      <c r="C46" s="60"/>
      <c r="D46" s="60"/>
      <c r="E46" s="60"/>
      <c r="F46" s="81"/>
      <c r="G46" s="81"/>
      <c r="H46" s="81"/>
    </row>
    <row r="47" spans="1:8" ht="15">
      <c r="A47" s="43"/>
      <c r="B47" s="60"/>
      <c r="C47" s="60"/>
      <c r="D47" s="60"/>
      <c r="E47" s="60"/>
      <c r="F47" s="81"/>
      <c r="G47" s="81"/>
      <c r="H47" s="81"/>
    </row>
    <row r="48" spans="1:8" ht="18">
      <c r="A48" s="33" t="str">
        <f>HLOOKUP(INDICE!$F$2,Nombres!$C$3:$D$636,65,FALSE)</f>
        <v>Relevant business indicators</v>
      </c>
      <c r="B48" s="34"/>
      <c r="C48" s="34"/>
      <c r="D48" s="34"/>
      <c r="E48" s="34"/>
      <c r="F48" s="85"/>
      <c r="G48" s="85"/>
      <c r="H48" s="85"/>
    </row>
    <row r="49" spans="1:8" ht="15">
      <c r="A49" s="35" t="str">
        <f>HLOOKUP(INDICE!$F$2,Nombres!$C$3:$D$636,32,FALSE)</f>
        <v>(Million euros)</v>
      </c>
      <c r="B49" s="30"/>
      <c r="C49" s="30"/>
      <c r="D49" s="30"/>
      <c r="E49" s="30"/>
      <c r="F49" s="83"/>
      <c r="G49" s="81"/>
      <c r="H49" s="81"/>
    </row>
    <row r="50" spans="1:8" ht="15.75">
      <c r="A50" s="30"/>
      <c r="B50" s="55">
        <f aca="true" t="shared" si="7" ref="B50:H50">+B$30</f>
        <v>43190</v>
      </c>
      <c r="C50" s="55">
        <f t="shared" si="7"/>
        <v>43281</v>
      </c>
      <c r="D50" s="55">
        <f t="shared" si="7"/>
        <v>43373</v>
      </c>
      <c r="E50" s="71">
        <f t="shared" si="7"/>
        <v>43465</v>
      </c>
      <c r="F50" s="80">
        <f t="shared" si="7"/>
        <v>43555</v>
      </c>
      <c r="G50" s="80">
        <f t="shared" si="7"/>
        <v>43646</v>
      </c>
      <c r="H50" s="80">
        <f t="shared" si="7"/>
        <v>43738</v>
      </c>
    </row>
    <row r="51" spans="1:8" ht="15" customHeight="1">
      <c r="A51" s="43" t="str">
        <f>HLOOKUP(INDICE!$F$2,Nombres!$C$3:$D$636,66,FALSE)</f>
        <v>Loans and advances to customers (gross) (*)</v>
      </c>
      <c r="B51" s="44">
        <v>55622.252755609996</v>
      </c>
      <c r="C51" s="44">
        <v>59371.76242932</v>
      </c>
      <c r="D51" s="44">
        <v>56469.735348890004</v>
      </c>
      <c r="E51" s="45">
        <v>59407.25859091</v>
      </c>
      <c r="F51" s="81">
        <v>61442.59753416999</v>
      </c>
      <c r="G51" s="81">
        <v>58243.46994497</v>
      </c>
      <c r="H51" s="81">
        <v>62794.00200552999</v>
      </c>
    </row>
    <row r="52" spans="1:8" ht="15">
      <c r="A52" s="43" t="str">
        <f>HLOOKUP(INDICE!$F$2,Nombres!$C$3:$D$636,67,FALSE)</f>
        <v>Customer deposits under management (*)</v>
      </c>
      <c r="B52" s="44">
        <v>38500.521964939995</v>
      </c>
      <c r="C52" s="44">
        <v>37397.51297997001</v>
      </c>
      <c r="D52" s="44">
        <v>38580.16892596999</v>
      </c>
      <c r="E52" s="45">
        <v>39641.98744974999</v>
      </c>
      <c r="F52" s="44">
        <v>35836.599701600004</v>
      </c>
      <c r="G52" s="44">
        <v>33945.10886227</v>
      </c>
      <c r="H52" s="44">
        <v>37220.15758527</v>
      </c>
    </row>
    <row r="53" spans="1:8" ht="15">
      <c r="A53" s="43" t="str">
        <f>HLOOKUP(INDICE!$F$2,Nombres!$C$3:$D$636,68,FALSE)</f>
        <v>Mutual funds</v>
      </c>
      <c r="B53" s="44">
        <v>1251.37949222</v>
      </c>
      <c r="C53" s="44">
        <v>1061.2505930300001</v>
      </c>
      <c r="D53" s="44">
        <v>660.15380117</v>
      </c>
      <c r="E53" s="45">
        <v>679.2284016</v>
      </c>
      <c r="F53" s="44">
        <v>847.5814779299999</v>
      </c>
      <c r="G53" s="44">
        <v>756.0795136500001</v>
      </c>
      <c r="H53" s="44">
        <v>738.9313007200002</v>
      </c>
    </row>
    <row r="54" spans="1:8" ht="15">
      <c r="A54" s="43" t="str">
        <f>HLOOKUP(INDICE!$F$2,Nombres!$C$3:$D$636,69,FALSE)</f>
        <v>Pension funds</v>
      </c>
      <c r="B54" s="44" t="s">
        <v>407</v>
      </c>
      <c r="C54" s="44" t="s">
        <v>407</v>
      </c>
      <c r="D54" s="44" t="s">
        <v>407</v>
      </c>
      <c r="E54" s="45" t="s">
        <v>407</v>
      </c>
      <c r="F54" s="44" t="s">
        <v>407</v>
      </c>
      <c r="G54" s="44" t="s">
        <v>407</v>
      </c>
      <c r="H54" s="44" t="s">
        <v>407</v>
      </c>
    </row>
    <row r="55" spans="1:8" ht="15">
      <c r="A55" s="43" t="str">
        <f>HLOOKUP(INDICE!$F$2,Nombres!$C$3:$D$636,70,FALSE)</f>
        <v>Other off balance-sheet funds</v>
      </c>
      <c r="B55" s="44">
        <v>114.60733761</v>
      </c>
      <c r="C55" s="44">
        <v>298.90359501</v>
      </c>
      <c r="D55" s="44">
        <v>297.2821156</v>
      </c>
      <c r="E55" s="45">
        <v>313.49732758</v>
      </c>
      <c r="F55" s="44">
        <v>545.83101398</v>
      </c>
      <c r="G55" s="44">
        <v>550.28183562</v>
      </c>
      <c r="H55" s="44">
        <v>384.79271908000004</v>
      </c>
    </row>
    <row r="56" spans="1:8" ht="15">
      <c r="A56" s="65" t="str">
        <f>HLOOKUP(INDICE!$F$2,Nombres!$C$3:$D$636,71,FALSE)</f>
        <v>(*) Excluding repos. </v>
      </c>
      <c r="B56" s="60"/>
      <c r="C56" s="60"/>
      <c r="D56" s="60"/>
      <c r="E56" s="60"/>
      <c r="F56" s="60"/>
      <c r="G56" s="60"/>
      <c r="H56" s="60"/>
    </row>
    <row r="57" spans="1:8" ht="15">
      <c r="A57" s="65">
        <f>HLOOKUP(INDICE!$F$2,Nombres!$C$3:$D$636,72,FALSE)</f>
        <v>0</v>
      </c>
      <c r="B57" s="30"/>
      <c r="C57" s="30"/>
      <c r="D57" s="30"/>
      <c r="E57" s="30"/>
      <c r="F57" s="30"/>
      <c r="G57" s="30"/>
      <c r="H57" s="30"/>
    </row>
    <row r="58" spans="1:8" ht="15">
      <c r="A58" s="65"/>
      <c r="B58" s="30"/>
      <c r="C58" s="30"/>
      <c r="D58" s="30"/>
      <c r="E58" s="30"/>
      <c r="F58" s="30"/>
      <c r="G58" s="30"/>
      <c r="H58" s="30"/>
    </row>
    <row r="59" spans="1:8" ht="18">
      <c r="A59" s="33" t="str">
        <f>HLOOKUP(INDICE!$F$2,Nombres!$C$3:$D$636,31,FALSE)</f>
        <v>Income statement  </v>
      </c>
      <c r="B59" s="34"/>
      <c r="C59" s="34"/>
      <c r="D59" s="34"/>
      <c r="E59" s="34"/>
      <c r="F59" s="34"/>
      <c r="G59" s="34"/>
      <c r="H59" s="34"/>
    </row>
    <row r="60" spans="1:8" ht="15">
      <c r="A60" s="35" t="str">
        <f>HLOOKUP(INDICE!$F$2,Nombres!$C$3:$D$636,73,FALSE)</f>
        <v>(Constant million euros)    </v>
      </c>
      <c r="B60" s="30"/>
      <c r="C60" s="36"/>
      <c r="D60" s="36"/>
      <c r="E60" s="36"/>
      <c r="F60" s="30"/>
      <c r="G60" s="30"/>
      <c r="H60" s="30"/>
    </row>
    <row r="61" spans="1:8" ht="15">
      <c r="A61" s="37"/>
      <c r="B61" s="30"/>
      <c r="C61" s="36"/>
      <c r="D61" s="36"/>
      <c r="E61" s="36"/>
      <c r="F61" s="30"/>
      <c r="G61" s="30"/>
      <c r="H61" s="30"/>
    </row>
    <row r="62" spans="1:8" ht="15.75">
      <c r="A62" s="38"/>
      <c r="B62" s="288">
        <f>+B$6</f>
        <v>2018</v>
      </c>
      <c r="C62" s="288"/>
      <c r="D62" s="288"/>
      <c r="E62" s="289"/>
      <c r="F62" s="292">
        <f>+F$6</f>
        <v>2019</v>
      </c>
      <c r="G62" s="288"/>
      <c r="H62" s="288"/>
    </row>
    <row r="63" spans="1:8" ht="15.75">
      <c r="A63" s="38"/>
      <c r="B63" s="39" t="str">
        <f>+B$7</f>
        <v>1Q</v>
      </c>
      <c r="C63" s="39" t="str">
        <f aca="true" t="shared" si="8" ref="C63:H63">+C$7</f>
        <v>2Q</v>
      </c>
      <c r="D63" s="39" t="str">
        <f t="shared" si="8"/>
        <v>3Q</v>
      </c>
      <c r="E63" s="40" t="str">
        <f t="shared" si="8"/>
        <v>4Q</v>
      </c>
      <c r="F63" s="39" t="str">
        <f t="shared" si="8"/>
        <v>1Q</v>
      </c>
      <c r="G63" s="39" t="str">
        <f t="shared" si="8"/>
        <v>2Q</v>
      </c>
      <c r="H63" s="39" t="str">
        <f t="shared" si="8"/>
        <v>3Q</v>
      </c>
    </row>
    <row r="64" spans="1:8" ht="15">
      <c r="A64" s="41" t="str">
        <f>HLOOKUP(INDICE!$F$2,Nombres!$C$3:$D$636,33,FALSE)</f>
        <v>Net interest income</v>
      </c>
      <c r="B64" s="41">
        <v>313.5304553242137</v>
      </c>
      <c r="C64" s="41">
        <v>324.4672550261378</v>
      </c>
      <c r="D64" s="41">
        <v>399.07146324572943</v>
      </c>
      <c r="E64" s="42">
        <v>402.4269863181829</v>
      </c>
      <c r="F64" s="52">
        <v>361.51722448370754</v>
      </c>
      <c r="G64" s="52">
        <v>399.89509196073107</v>
      </c>
      <c r="H64" s="52">
        <v>377.54077011556114</v>
      </c>
    </row>
    <row r="65" spans="1:8" ht="15">
      <c r="A65" s="43" t="str">
        <f>HLOOKUP(INDICE!$F$2,Nombres!$C$3:$D$636,34,FALSE)</f>
        <v>Net fees and commissions</v>
      </c>
      <c r="B65" s="44">
        <v>174.1215552123852</v>
      </c>
      <c r="C65" s="44">
        <v>194.96960897273073</v>
      </c>
      <c r="D65" s="44">
        <v>165.70091001036536</v>
      </c>
      <c r="E65" s="45">
        <v>156.54302473895785</v>
      </c>
      <c r="F65" s="44">
        <v>167.6497322965353</v>
      </c>
      <c r="G65" s="44">
        <v>172.94893984036844</v>
      </c>
      <c r="H65" s="44">
        <v>195.89549229309625</v>
      </c>
    </row>
    <row r="66" spans="1:8" ht="15">
      <c r="A66" s="43" t="str">
        <f>HLOOKUP(INDICE!$F$2,Nombres!$C$3:$D$636,35,FALSE)</f>
        <v>Net trading income</v>
      </c>
      <c r="B66" s="44">
        <v>262.6468765662744</v>
      </c>
      <c r="C66" s="44">
        <v>221.04722941863034</v>
      </c>
      <c r="D66" s="44">
        <v>182.4864694011677</v>
      </c>
      <c r="E66" s="45">
        <v>173.15766821087246</v>
      </c>
      <c r="F66" s="44">
        <v>210.75042555639692</v>
      </c>
      <c r="G66" s="44">
        <v>147.56954761812423</v>
      </c>
      <c r="H66" s="44">
        <v>210.63853428547884</v>
      </c>
    </row>
    <row r="67" spans="1:8" ht="15">
      <c r="A67" s="43" t="str">
        <f>HLOOKUP(INDICE!$F$2,Nombres!$C$3:$D$636,36,FALSE)</f>
        <v>Other operating income and expenses</v>
      </c>
      <c r="B67" s="44">
        <v>-11.100715648569931</v>
      </c>
      <c r="C67" s="44">
        <v>-7.888687331758019</v>
      </c>
      <c r="D67" s="44">
        <v>-13.63534887410201</v>
      </c>
      <c r="E67" s="45">
        <v>-11.184605658501338</v>
      </c>
      <c r="F67" s="44">
        <v>-14.54633302489788</v>
      </c>
      <c r="G67" s="44">
        <v>-11.478842143966267</v>
      </c>
      <c r="H67" s="44">
        <v>-15.57928855113585</v>
      </c>
    </row>
    <row r="68" spans="1:8" ht="15">
      <c r="A68" s="41" t="str">
        <f>HLOOKUP(INDICE!$F$2,Nombres!$C$3:$D$636,37,FALSE)</f>
        <v>Gross income</v>
      </c>
      <c r="B68" s="41">
        <f>+SUM(B64:B67)</f>
        <v>739.1981714543034</v>
      </c>
      <c r="C68" s="41">
        <f aca="true" t="shared" si="9" ref="C68:H68">+SUM(C64:C67)</f>
        <v>732.5954060857409</v>
      </c>
      <c r="D68" s="41">
        <f t="shared" si="9"/>
        <v>733.6234937831606</v>
      </c>
      <c r="E68" s="42">
        <f t="shared" si="9"/>
        <v>720.9430736095118</v>
      </c>
      <c r="F68" s="52">
        <f t="shared" si="9"/>
        <v>725.3710493117419</v>
      </c>
      <c r="G68" s="52">
        <f t="shared" si="9"/>
        <v>708.9347372752575</v>
      </c>
      <c r="H68" s="52">
        <f t="shared" si="9"/>
        <v>768.4955081430004</v>
      </c>
    </row>
    <row r="69" spans="1:8" ht="15">
      <c r="A69" s="43" t="str">
        <f>HLOOKUP(INDICE!$F$2,Nombres!$C$3:$D$636,38,FALSE)</f>
        <v>Operating expenses</v>
      </c>
      <c r="B69" s="44">
        <v>-260.50725748139115</v>
      </c>
      <c r="C69" s="44">
        <v>-254.88062710389534</v>
      </c>
      <c r="D69" s="44">
        <v>-260.7063902463644</v>
      </c>
      <c r="E69" s="45">
        <v>-255.14391244917624</v>
      </c>
      <c r="F69" s="44">
        <v>-260.2718587989995</v>
      </c>
      <c r="G69" s="44">
        <v>-261.61614845704344</v>
      </c>
      <c r="H69" s="44">
        <v>-268.3043920639571</v>
      </c>
    </row>
    <row r="70" spans="1:8" ht="15">
      <c r="A70" s="43" t="str">
        <f>HLOOKUP(INDICE!$F$2,Nombres!$C$3:$D$636,39,FALSE)</f>
        <v>  Administration expenses</v>
      </c>
      <c r="B70" s="44">
        <v>-233.48644317994754</v>
      </c>
      <c r="C70" s="44">
        <v>-226.9974517373813</v>
      </c>
      <c r="D70" s="44">
        <v>-233.47409239597715</v>
      </c>
      <c r="E70" s="45">
        <v>-227.83723851548632</v>
      </c>
      <c r="F70" s="44">
        <v>-228.4147340111125</v>
      </c>
      <c r="G70" s="44">
        <v>-229.86157992197872</v>
      </c>
      <c r="H70" s="44">
        <v>-236.95542230690882</v>
      </c>
    </row>
    <row r="71" spans="1:8" ht="15">
      <c r="A71" s="46" t="str">
        <f>HLOOKUP(INDICE!$F$2,Nombres!$C$3:$D$636,40,FALSE)</f>
        <v>  Personnel expenses</v>
      </c>
      <c r="B71" s="44">
        <v>-120.13527233226364</v>
      </c>
      <c r="C71" s="44">
        <v>-107.05190626317852</v>
      </c>
      <c r="D71" s="44">
        <v>-115.44729357197942</v>
      </c>
      <c r="E71" s="45">
        <v>-111.5997325251166</v>
      </c>
      <c r="F71" s="44">
        <v>-119.86635179802305</v>
      </c>
      <c r="G71" s="44">
        <v>-116.26734803869127</v>
      </c>
      <c r="H71" s="44">
        <v>-118.0449150132857</v>
      </c>
    </row>
    <row r="72" spans="1:8" ht="15">
      <c r="A72" s="46" t="str">
        <f>HLOOKUP(INDICE!$F$2,Nombres!$C$3:$D$636,41,FALSE)</f>
        <v>  General and administrative expenses</v>
      </c>
      <c r="B72" s="44">
        <v>-113.35117084768393</v>
      </c>
      <c r="C72" s="44">
        <v>-119.94554547420279</v>
      </c>
      <c r="D72" s="44">
        <v>-118.02679882399775</v>
      </c>
      <c r="E72" s="45">
        <v>-116.23750599036978</v>
      </c>
      <c r="F72" s="44">
        <v>-108.54838221308947</v>
      </c>
      <c r="G72" s="44">
        <v>-113.59423188328748</v>
      </c>
      <c r="H72" s="44">
        <v>-118.91050729362306</v>
      </c>
    </row>
    <row r="73" spans="1:8" ht="15">
      <c r="A73" s="43" t="str">
        <f>HLOOKUP(INDICE!$F$2,Nombres!$C$3:$D$636,42,FALSE)</f>
        <v>  Depreciation</v>
      </c>
      <c r="B73" s="44">
        <v>-27.020814301443597</v>
      </c>
      <c r="C73" s="44">
        <v>-27.88317536651404</v>
      </c>
      <c r="D73" s="44">
        <v>-27.232297850387212</v>
      </c>
      <c r="E73" s="45">
        <v>-27.306673933689886</v>
      </c>
      <c r="F73" s="44">
        <v>-31.857124787887038</v>
      </c>
      <c r="G73" s="44">
        <v>-31.754568535064685</v>
      </c>
      <c r="H73" s="44">
        <v>-31.34896975704828</v>
      </c>
    </row>
    <row r="74" spans="1:8" ht="15">
      <c r="A74" s="41" t="str">
        <f>HLOOKUP(INDICE!$F$2,Nombres!$C$3:$D$636,43,FALSE)</f>
        <v>Operating income</v>
      </c>
      <c r="B74" s="41">
        <f>+B68+B69</f>
        <v>478.69091397291226</v>
      </c>
      <c r="C74" s="41">
        <f aca="true" t="shared" si="10" ref="C74:H74">+C68+C69</f>
        <v>477.7147789818456</v>
      </c>
      <c r="D74" s="41">
        <f t="shared" si="10"/>
        <v>472.9171035367962</v>
      </c>
      <c r="E74" s="42">
        <f t="shared" si="10"/>
        <v>465.79916116033553</v>
      </c>
      <c r="F74" s="52">
        <f t="shared" si="10"/>
        <v>465.0991905127424</v>
      </c>
      <c r="G74" s="52">
        <f t="shared" si="10"/>
        <v>447.31858881821404</v>
      </c>
      <c r="H74" s="52">
        <f t="shared" si="10"/>
        <v>500.1911160790433</v>
      </c>
    </row>
    <row r="75" spans="1:8" ht="15">
      <c r="A75" s="43" t="str">
        <f>HLOOKUP(INDICE!$F$2,Nombres!$C$3:$D$636,44,FALSE)</f>
        <v>Impaiment on financial assets not measured at fair value through profit or loss</v>
      </c>
      <c r="B75" s="44">
        <v>21.177173448431134</v>
      </c>
      <c r="C75" s="44">
        <v>0.6421998384778527</v>
      </c>
      <c r="D75" s="44">
        <v>-55.79374920019537</v>
      </c>
      <c r="E75" s="45">
        <v>-273.4976704222069</v>
      </c>
      <c r="F75" s="44">
        <v>-54.08348445504766</v>
      </c>
      <c r="G75" s="44">
        <v>-22.701571337393556</v>
      </c>
      <c r="H75" s="44">
        <v>-76.78524061755878</v>
      </c>
    </row>
    <row r="76" spans="1:8" ht="15">
      <c r="A76" s="43" t="str">
        <f>HLOOKUP(INDICE!$F$2,Nombres!$C$3:$D$636,45,FALSE)</f>
        <v>Provisions or reversal of provisions and other results</v>
      </c>
      <c r="B76" s="44">
        <v>-25.3222024185107</v>
      </c>
      <c r="C76" s="44">
        <v>4.426445821951941</v>
      </c>
      <c r="D76" s="44">
        <v>-5.715337591459906</v>
      </c>
      <c r="E76" s="45">
        <v>-9.20051508042142</v>
      </c>
      <c r="F76" s="44">
        <v>3.9675094877413266</v>
      </c>
      <c r="G76" s="44">
        <v>13.559286281364164</v>
      </c>
      <c r="H76" s="44">
        <v>6.798433650894509</v>
      </c>
    </row>
    <row r="77" spans="1:8" ht="15">
      <c r="A77" s="41" t="str">
        <f>HLOOKUP(INDICE!$F$2,Nombres!$C$3:$D$636,46,FALSE)</f>
        <v>Profit/(loss) before tax</v>
      </c>
      <c r="B77" s="41">
        <f>+B74+B75+B76</f>
        <v>474.5458850028327</v>
      </c>
      <c r="C77" s="41">
        <f aca="true" t="shared" si="11" ref="C77:H77">+C74+C75+C76</f>
        <v>482.78342464227535</v>
      </c>
      <c r="D77" s="41">
        <f t="shared" si="11"/>
        <v>411.40801674514097</v>
      </c>
      <c r="E77" s="42">
        <f t="shared" si="11"/>
        <v>183.1009756577072</v>
      </c>
      <c r="F77" s="52">
        <f t="shared" si="11"/>
        <v>414.98321554543605</v>
      </c>
      <c r="G77" s="52">
        <f t="shared" si="11"/>
        <v>438.17630376218466</v>
      </c>
      <c r="H77" s="52">
        <f t="shared" si="11"/>
        <v>430.20430911237906</v>
      </c>
    </row>
    <row r="78" spans="1:8" ht="15">
      <c r="A78" s="43" t="str">
        <f>HLOOKUP(INDICE!$F$2,Nombres!$C$3:$D$636,47,FALSE)</f>
        <v>Income tax</v>
      </c>
      <c r="B78" s="44">
        <v>-126.68205300701305</v>
      </c>
      <c r="C78" s="44">
        <v>-127.39147290124376</v>
      </c>
      <c r="D78" s="44">
        <v>-67.82129388356769</v>
      </c>
      <c r="E78" s="45">
        <v>-35.15074365359665</v>
      </c>
      <c r="F78" s="44">
        <v>-103.62097400537428</v>
      </c>
      <c r="G78" s="44">
        <v>-103.12608639053093</v>
      </c>
      <c r="H78" s="44">
        <v>-122.5444949240948</v>
      </c>
    </row>
    <row r="79" spans="1:8" ht="15">
      <c r="A79" s="41" t="str">
        <f>HLOOKUP(INDICE!$F$2,Nombres!$C$3:$D$636,48,FALSE)</f>
        <v>Profit/(loss) for the year</v>
      </c>
      <c r="B79" s="41">
        <f>+B77+B78</f>
        <v>347.8638319958196</v>
      </c>
      <c r="C79" s="41">
        <f aca="true" t="shared" si="12" ref="C79:H79">+C77+C78</f>
        <v>355.39195174103156</v>
      </c>
      <c r="D79" s="41">
        <f t="shared" si="12"/>
        <v>343.58672286157326</v>
      </c>
      <c r="E79" s="42">
        <f t="shared" si="12"/>
        <v>147.95023200411055</v>
      </c>
      <c r="F79" s="52">
        <f t="shared" si="12"/>
        <v>311.36224154006175</v>
      </c>
      <c r="G79" s="52">
        <f t="shared" si="12"/>
        <v>335.05021737165373</v>
      </c>
      <c r="H79" s="52">
        <f t="shared" si="12"/>
        <v>307.65981418828426</v>
      </c>
    </row>
    <row r="80" spans="1:8" ht="15">
      <c r="A80" s="43" t="str">
        <f>HLOOKUP(INDICE!$F$2,Nombres!$C$3:$D$636,49,FALSE)</f>
        <v>Non-controlling interests</v>
      </c>
      <c r="B80" s="44">
        <v>-48.3398529317725</v>
      </c>
      <c r="C80" s="44">
        <v>-60.683402898104355</v>
      </c>
      <c r="D80" s="44">
        <v>-89.54456806881431</v>
      </c>
      <c r="E80" s="45">
        <v>23.14762495820741</v>
      </c>
      <c r="F80" s="44">
        <v>-85.94860291931812</v>
      </c>
      <c r="G80" s="44">
        <v>-76.51840633801645</v>
      </c>
      <c r="H80" s="44">
        <v>-57.50016581266545</v>
      </c>
    </row>
    <row r="81" spans="1:8" ht="15">
      <c r="A81" s="47" t="str">
        <f>HLOOKUP(INDICE!$F$2,Nombres!$C$3:$D$636,50,FALSE)</f>
        <v>Net attributable profit</v>
      </c>
      <c r="B81" s="47">
        <f>+B79+B80</f>
        <v>299.5239790640471</v>
      </c>
      <c r="C81" s="47">
        <f aca="true" t="shared" si="13" ref="C81:H81">+C79+C80</f>
        <v>294.7085488429272</v>
      </c>
      <c r="D81" s="47">
        <f t="shared" si="13"/>
        <v>254.04215479275894</v>
      </c>
      <c r="E81" s="47">
        <f t="shared" si="13"/>
        <v>171.09785696231796</v>
      </c>
      <c r="F81" s="53">
        <f t="shared" si="13"/>
        <v>225.41363862074363</v>
      </c>
      <c r="G81" s="53">
        <f t="shared" si="13"/>
        <v>258.53181103363727</v>
      </c>
      <c r="H81" s="53">
        <f t="shared" si="13"/>
        <v>250.15964837561881</v>
      </c>
    </row>
    <row r="82" spans="1:8" ht="15">
      <c r="A82" s="65"/>
      <c r="B82" s="66">
        <v>0</v>
      </c>
      <c r="C82" s="66">
        <v>0</v>
      </c>
      <c r="D82" s="66">
        <v>0</v>
      </c>
      <c r="E82" s="66">
        <v>-2.2737367544323206E-13</v>
      </c>
      <c r="F82" s="66">
        <v>0</v>
      </c>
      <c r="G82" s="66">
        <v>0</v>
      </c>
      <c r="H82" s="66">
        <v>0</v>
      </c>
    </row>
    <row r="83" spans="1:8" ht="15">
      <c r="A83" s="41"/>
      <c r="B83" s="41"/>
      <c r="C83" s="41"/>
      <c r="D83" s="41"/>
      <c r="E83" s="41"/>
      <c r="F83" s="52"/>
      <c r="G83" s="52"/>
      <c r="H83" s="52"/>
    </row>
    <row r="84" spans="1:8" ht="18">
      <c r="A84" s="33" t="str">
        <f>HLOOKUP(INDICE!$F$2,Nombres!$C$3:$D$636,51,FALSE)</f>
        <v>Balance sheets</v>
      </c>
      <c r="B84" s="34"/>
      <c r="C84" s="34"/>
      <c r="D84" s="34"/>
      <c r="E84" s="34"/>
      <c r="F84" s="72"/>
      <c r="G84" s="72"/>
      <c r="H84" s="72"/>
    </row>
    <row r="85" spans="1:8" ht="15">
      <c r="A85" s="35" t="str">
        <f>HLOOKUP(INDICE!$F$2,Nombres!$C$3:$D$636,73,FALSE)</f>
        <v>(Constant million euros)    </v>
      </c>
      <c r="B85" s="30"/>
      <c r="C85" s="54"/>
      <c r="D85" s="54"/>
      <c r="E85" s="54"/>
      <c r="F85" s="73"/>
      <c r="G85" s="44"/>
      <c r="H85" s="44"/>
    </row>
    <row r="86" spans="1:8" ht="15.75">
      <c r="A86" s="30"/>
      <c r="B86" s="55">
        <f aca="true" t="shared" si="14" ref="B86:H86">+B$30</f>
        <v>43190</v>
      </c>
      <c r="C86" s="55">
        <f t="shared" si="14"/>
        <v>43281</v>
      </c>
      <c r="D86" s="55">
        <f t="shared" si="14"/>
        <v>43373</v>
      </c>
      <c r="E86" s="71">
        <f t="shared" si="14"/>
        <v>43465</v>
      </c>
      <c r="F86" s="55">
        <f t="shared" si="14"/>
        <v>43555</v>
      </c>
      <c r="G86" s="55">
        <f t="shared" si="14"/>
        <v>43646</v>
      </c>
      <c r="H86" s="55">
        <f t="shared" si="14"/>
        <v>43738</v>
      </c>
    </row>
    <row r="87" spans="1:8" ht="15">
      <c r="A87" s="43" t="str">
        <f>HLOOKUP(INDICE!$F$2,Nombres!$C$3:$D$636,52,FALSE)</f>
        <v>Cash, cash balances at central banks and other demand deposits</v>
      </c>
      <c r="B87" s="44">
        <v>4028.107605648364</v>
      </c>
      <c r="C87" s="44">
        <v>3888.278328994082</v>
      </c>
      <c r="D87" s="44">
        <v>3705.5345074460834</v>
      </c>
      <c r="E87" s="45">
        <v>5255.69113661064</v>
      </c>
      <c r="F87" s="44">
        <v>6110.766773794685</v>
      </c>
      <c r="G87" s="44">
        <v>4980.893916734874</v>
      </c>
      <c r="H87" s="44">
        <v>4683.1521171299955</v>
      </c>
    </row>
    <row r="88" spans="1:8" ht="15">
      <c r="A88" s="43" t="str">
        <f>HLOOKUP(INDICE!$F$2,Nombres!$C$3:$D$636,53,FALSE)</f>
        <v>Financial assets designated at fair value </v>
      </c>
      <c r="B88" s="60">
        <v>100920.76809923291</v>
      </c>
      <c r="C88" s="60">
        <v>100011.38896692323</v>
      </c>
      <c r="D88" s="60">
        <v>93342.98346122527</v>
      </c>
      <c r="E88" s="68">
        <v>92938.31974659204</v>
      </c>
      <c r="F88" s="44">
        <v>94439.65529706093</v>
      </c>
      <c r="G88" s="44">
        <v>108561.65634155573</v>
      </c>
      <c r="H88" s="44">
        <v>112594.44284764</v>
      </c>
    </row>
    <row r="89" spans="1:8" ht="15">
      <c r="A89" s="43" t="str">
        <f>HLOOKUP(INDICE!$F$2,Nombres!$C$3:$D$636,54,FALSE)</f>
        <v>Financial assets at amortized cost</v>
      </c>
      <c r="B89" s="44">
        <v>62578.73149434172</v>
      </c>
      <c r="C89" s="44">
        <v>65921.27367800025</v>
      </c>
      <c r="D89" s="44">
        <v>65215.87812826304</v>
      </c>
      <c r="E89" s="45">
        <v>65848.96016575534</v>
      </c>
      <c r="F89" s="44">
        <v>68869.93358978335</v>
      </c>
      <c r="G89" s="44">
        <v>68275.84000762962</v>
      </c>
      <c r="H89" s="44">
        <v>74833.80726245</v>
      </c>
    </row>
    <row r="90" spans="1:8" ht="15">
      <c r="A90" s="43" t="str">
        <f>HLOOKUP(INDICE!$F$2,Nombres!$C$3:$D$636,55,FALSE)</f>
        <v>    of which loans and advances to customers</v>
      </c>
      <c r="B90" s="44">
        <v>54575.821565785256</v>
      </c>
      <c r="C90" s="44">
        <v>58129.75692445365</v>
      </c>
      <c r="D90" s="44">
        <v>57234.19713588034</v>
      </c>
      <c r="E90" s="45">
        <v>59420.30249881096</v>
      </c>
      <c r="F90" s="44">
        <v>61507.14134372417</v>
      </c>
      <c r="G90" s="44">
        <v>59030.47870296478</v>
      </c>
      <c r="H90" s="44">
        <v>62397.83713657</v>
      </c>
    </row>
    <row r="91" spans="1:8" ht="15">
      <c r="A91" s="43" t="str">
        <f>HLOOKUP(INDICE!$F$2,Nombres!$C$3:$D$636,121,FALSE)</f>
        <v>Inter-area positions</v>
      </c>
      <c r="B91" s="44">
        <v>0</v>
      </c>
      <c r="C91" s="44">
        <v>0</v>
      </c>
      <c r="D91" s="44">
        <v>0</v>
      </c>
      <c r="E91" s="45">
        <v>0</v>
      </c>
      <c r="F91" s="44">
        <v>0</v>
      </c>
      <c r="G91" s="44">
        <v>0</v>
      </c>
      <c r="H91" s="44">
        <v>0</v>
      </c>
    </row>
    <row r="92" spans="1:8" ht="15">
      <c r="A92" s="43" t="str">
        <f>HLOOKUP(INDICE!$F$2,Nombres!$C$3:$D$636,56,FALSE)</f>
        <v>Tangible assets</v>
      </c>
      <c r="B92" s="44">
        <v>31.205172900101765</v>
      </c>
      <c r="C92" s="44">
        <v>31.236032577041023</v>
      </c>
      <c r="D92" s="44">
        <v>29.86881125176471</v>
      </c>
      <c r="E92" s="45">
        <v>29.357943642528134</v>
      </c>
      <c r="F92" s="44">
        <v>82.98930443183733</v>
      </c>
      <c r="G92" s="44">
        <v>77.68079491272371</v>
      </c>
      <c r="H92" s="44">
        <v>79.90792358000002</v>
      </c>
    </row>
    <row r="93" spans="1:8" ht="15">
      <c r="A93" s="43" t="str">
        <f>HLOOKUP(INDICE!$F$2,Nombres!$C$3:$D$636,57,FALSE)</f>
        <v>Other assets</v>
      </c>
      <c r="B93" s="60">
        <f>+B94-B92-B89-B88-B87-B91</f>
        <v>3080.839462924859</v>
      </c>
      <c r="C93" s="60">
        <f aca="true" t="shared" si="15" ref="C93:H93">+C94-C92-C89-C88-C87-C91</f>
        <v>4771.550340005389</v>
      </c>
      <c r="D93" s="60">
        <f t="shared" si="15"/>
        <v>3798.4185443068513</v>
      </c>
      <c r="E93" s="68">
        <f t="shared" si="15"/>
        <v>2260.7435831877483</v>
      </c>
      <c r="F93" s="60">
        <f t="shared" si="15"/>
        <v>1805.2300563747758</v>
      </c>
      <c r="G93" s="60">
        <f t="shared" si="15"/>
        <v>1919.7252346935838</v>
      </c>
      <c r="H93" s="60">
        <f t="shared" si="15"/>
        <v>13903.98275360001</v>
      </c>
    </row>
    <row r="94" spans="1:8" ht="15">
      <c r="A94" s="47" t="str">
        <f>HLOOKUP(INDICE!$F$2,Nombres!$C$3:$D$636,58,FALSE)</f>
        <v>Total assets / Liabilities and equity</v>
      </c>
      <c r="B94" s="47">
        <v>170639.65183504796</v>
      </c>
      <c r="C94" s="47">
        <v>174623.72734649997</v>
      </c>
      <c r="D94" s="47">
        <v>166092.68345249302</v>
      </c>
      <c r="E94" s="74">
        <v>166333.0725757883</v>
      </c>
      <c r="F94" s="53">
        <v>171308.57502144558</v>
      </c>
      <c r="G94" s="53">
        <v>183815.79629552652</v>
      </c>
      <c r="H94" s="53">
        <v>206095.29290440003</v>
      </c>
    </row>
    <row r="95" spans="1:8" ht="15">
      <c r="A95" s="43" t="str">
        <f>HLOOKUP(INDICE!$F$2,Nombres!$C$3:$D$636,59,FALSE)</f>
        <v>Financial liabilities held for trading and designated at fair value through profit or loss</v>
      </c>
      <c r="B95" s="60">
        <v>80164.86044804566</v>
      </c>
      <c r="C95" s="60">
        <v>79442.98738299383</v>
      </c>
      <c r="D95" s="60">
        <v>76728.89579256948</v>
      </c>
      <c r="E95" s="68">
        <v>73254.18220416989</v>
      </c>
      <c r="F95" s="44">
        <v>81718.46657434135</v>
      </c>
      <c r="G95" s="44">
        <v>94233.50712315676</v>
      </c>
      <c r="H95" s="44">
        <v>94136.24491281998</v>
      </c>
    </row>
    <row r="96" spans="1:8" ht="15">
      <c r="A96" s="43" t="str">
        <f>HLOOKUP(INDICE!$F$2,Nombres!$C$3:$D$636,60,FALSE)</f>
        <v>Deposits from central banks and credit institutions</v>
      </c>
      <c r="B96" s="60">
        <v>19958.32730666376</v>
      </c>
      <c r="C96" s="60">
        <v>16382.053871861182</v>
      </c>
      <c r="D96" s="60">
        <v>16000.106566392526</v>
      </c>
      <c r="E96" s="68">
        <v>19720.697154194233</v>
      </c>
      <c r="F96" s="44">
        <v>15406.245937973594</v>
      </c>
      <c r="G96" s="44">
        <v>16429.607512007544</v>
      </c>
      <c r="H96" s="44">
        <v>16916.68969179</v>
      </c>
    </row>
    <row r="97" spans="1:8" ht="15">
      <c r="A97" s="43" t="str">
        <f>HLOOKUP(INDICE!$F$2,Nombres!$C$3:$D$636,61,FALSE)</f>
        <v>Deposits from customers</v>
      </c>
      <c r="B97" s="60">
        <v>42651.05216204402</v>
      </c>
      <c r="C97" s="60">
        <v>40512.890390281784</v>
      </c>
      <c r="D97" s="60">
        <v>42137.34967132941</v>
      </c>
      <c r="E97" s="68">
        <v>43724.39291799775</v>
      </c>
      <c r="F97" s="44">
        <v>36100.92389563621</v>
      </c>
      <c r="G97" s="44">
        <v>34503.85115416417</v>
      </c>
      <c r="H97" s="44">
        <v>37267.62865255</v>
      </c>
    </row>
    <row r="98" spans="1:8" ht="15">
      <c r="A98" s="43" t="str">
        <f>HLOOKUP(INDICE!$F$2,Nombres!$C$3:$D$636,62,FALSE)</f>
        <v>Debt certificates</v>
      </c>
      <c r="B98" s="44">
        <v>2383.1064251268</v>
      </c>
      <c r="C98" s="44">
        <v>2344.7577910016353</v>
      </c>
      <c r="D98" s="44">
        <v>2117.719124214386</v>
      </c>
      <c r="E98" s="45">
        <v>1968.131859346508</v>
      </c>
      <c r="F98" s="44">
        <v>2040.764270120753</v>
      </c>
      <c r="G98" s="44">
        <v>3018.076853644519</v>
      </c>
      <c r="H98" s="44">
        <v>2430.76057837</v>
      </c>
    </row>
    <row r="99" spans="1:8" ht="15">
      <c r="A99" s="43" t="str">
        <f>HLOOKUP(INDICE!$F$2,Nombres!$C$3:$D$636,122,FALSE)</f>
        <v>Inter-area positions</v>
      </c>
      <c r="B99" s="44">
        <v>16434.588988247357</v>
      </c>
      <c r="C99" s="44">
        <v>26700.801440056326</v>
      </c>
      <c r="D99" s="44">
        <v>22787.525634349528</v>
      </c>
      <c r="E99" s="45">
        <v>20111.635756441654</v>
      </c>
      <c r="F99" s="44">
        <v>30471.29340286815</v>
      </c>
      <c r="G99" s="44">
        <v>27811.636267206748</v>
      </c>
      <c r="H99" s="44">
        <v>46989.03330469006</v>
      </c>
    </row>
    <row r="100" spans="1:8" ht="15">
      <c r="A100" s="43" t="str">
        <f>HLOOKUP(INDICE!$F$2,Nombres!$C$3:$D$636,63,FALSE)</f>
        <v>Other liabilities</v>
      </c>
      <c r="B100" s="60">
        <f>+B94-B95-B96-B97-B98-B101-B99</f>
        <v>5731.603820259559</v>
      </c>
      <c r="C100" s="60">
        <f aca="true" t="shared" si="16" ref="C100:H100">+C94-C95-C96-C97-C98-C101-C99</f>
        <v>6121.190012113955</v>
      </c>
      <c r="D100" s="60">
        <f t="shared" si="16"/>
        <v>3180.217480895546</v>
      </c>
      <c r="E100" s="68">
        <f t="shared" si="16"/>
        <v>4388.9207389815565</v>
      </c>
      <c r="F100" s="60">
        <f t="shared" si="16"/>
        <v>1389.2063148001907</v>
      </c>
      <c r="G100" s="60">
        <f t="shared" si="16"/>
        <v>4096.1995818930955</v>
      </c>
      <c r="H100" s="60">
        <f t="shared" si="16"/>
        <v>4277.464230239988</v>
      </c>
    </row>
    <row r="101" spans="1:8" ht="15">
      <c r="A101" s="43" t="str">
        <f>HLOOKUP(INDICE!$F$2,Nombres!$C$3:$D$636,64,FALSE)</f>
        <v>Economic capital allocated</v>
      </c>
      <c r="B101" s="44">
        <v>3316.112684660804</v>
      </c>
      <c r="C101" s="44">
        <v>3119.0464581912697</v>
      </c>
      <c r="D101" s="44">
        <v>3140.869182742137</v>
      </c>
      <c r="E101" s="45">
        <v>3165.111944656715</v>
      </c>
      <c r="F101" s="44">
        <v>4181.674625705333</v>
      </c>
      <c r="G101" s="44">
        <v>3722.917803453695</v>
      </c>
      <c r="H101" s="44">
        <v>4077.47153394</v>
      </c>
    </row>
    <row r="102" spans="1:8" ht="15">
      <c r="A102" s="65"/>
      <c r="B102" s="60"/>
      <c r="C102" s="60"/>
      <c r="D102" s="60"/>
      <c r="E102" s="60"/>
      <c r="F102" s="44"/>
      <c r="G102" s="44"/>
      <c r="H102" s="44"/>
    </row>
    <row r="103" spans="1:8" ht="15">
      <c r="A103" s="43"/>
      <c r="B103" s="60"/>
      <c r="C103" s="60"/>
      <c r="D103" s="60"/>
      <c r="E103" s="60"/>
      <c r="F103" s="44"/>
      <c r="G103" s="44"/>
      <c r="H103" s="44"/>
    </row>
    <row r="104" spans="1:8" ht="18">
      <c r="A104" s="33" t="str">
        <f>HLOOKUP(INDICE!$F$2,Nombres!$C$3:$D$636,65,FALSE)</f>
        <v>Relevant business indicators</v>
      </c>
      <c r="B104" s="34"/>
      <c r="C104" s="34"/>
      <c r="D104" s="34"/>
      <c r="E104" s="34"/>
      <c r="F104" s="72"/>
      <c r="G104" s="72"/>
      <c r="H104" s="72"/>
    </row>
    <row r="105" spans="1:8" ht="15">
      <c r="A105" s="35" t="str">
        <f>HLOOKUP(INDICE!$F$2,Nombres!$C$3:$D$636,73,FALSE)</f>
        <v>(Constant million euros)    </v>
      </c>
      <c r="B105" s="30"/>
      <c r="C105" s="30"/>
      <c r="D105" s="30"/>
      <c r="E105" s="30"/>
      <c r="F105" s="73"/>
      <c r="G105" s="44"/>
      <c r="H105" s="44"/>
    </row>
    <row r="106" spans="1:8" ht="15.75">
      <c r="A106" s="30"/>
      <c r="B106" s="55">
        <f aca="true" t="shared" si="17" ref="B106:H106">+B$30</f>
        <v>43190</v>
      </c>
      <c r="C106" s="55">
        <f t="shared" si="17"/>
        <v>43281</v>
      </c>
      <c r="D106" s="55">
        <f t="shared" si="17"/>
        <v>43373</v>
      </c>
      <c r="E106" s="71">
        <f t="shared" si="17"/>
        <v>43465</v>
      </c>
      <c r="F106" s="55">
        <f t="shared" si="17"/>
        <v>43555</v>
      </c>
      <c r="G106" s="55">
        <f t="shared" si="17"/>
        <v>43646</v>
      </c>
      <c r="H106" s="55">
        <f t="shared" si="17"/>
        <v>43738</v>
      </c>
    </row>
    <row r="107" spans="1:8" ht="15">
      <c r="A107" s="43" t="str">
        <f>HLOOKUP(INDICE!$F$2,Nombres!$C$3:$D$636,66,FALSE)</f>
        <v>Loans and advances to customers (gross) (*)</v>
      </c>
      <c r="B107" s="44">
        <v>54702.70966664339</v>
      </c>
      <c r="C107" s="44">
        <v>58839.928435546986</v>
      </c>
      <c r="D107" s="44">
        <v>58029.8314503499</v>
      </c>
      <c r="E107" s="45">
        <v>60108.24371155395</v>
      </c>
      <c r="F107" s="44">
        <v>61943.54432973771</v>
      </c>
      <c r="G107" s="44">
        <v>59218.32879546308</v>
      </c>
      <c r="H107" s="44">
        <v>62794.00200552999</v>
      </c>
    </row>
    <row r="108" spans="1:8" ht="15">
      <c r="A108" s="43" t="str">
        <f>HLOOKUP(INDICE!$F$2,Nombres!$C$3:$D$636,67,FALSE)</f>
        <v>Customer deposits under management (*)</v>
      </c>
      <c r="B108" s="44">
        <v>37990.97124817389</v>
      </c>
      <c r="C108" s="44">
        <v>37130.18437321303</v>
      </c>
      <c r="D108" s="44">
        <v>39597.44089004043</v>
      </c>
      <c r="E108" s="45">
        <v>40131.594097062334</v>
      </c>
      <c r="F108" s="44">
        <v>36100.896119575526</v>
      </c>
      <c r="G108" s="44">
        <v>34479.55972907859</v>
      </c>
      <c r="H108" s="44">
        <v>37220.15758527</v>
      </c>
    </row>
    <row r="109" spans="1:8" ht="15">
      <c r="A109" s="43" t="str">
        <f>HLOOKUP(INDICE!$F$2,Nombres!$C$3:$D$636,68,FALSE)</f>
        <v>Mutual funds</v>
      </c>
      <c r="B109" s="44">
        <v>1028.7331495328347</v>
      </c>
      <c r="C109" s="44">
        <v>907.9739564675327</v>
      </c>
      <c r="D109" s="44">
        <v>587.2656180182574</v>
      </c>
      <c r="E109" s="45">
        <v>627.3774742106168</v>
      </c>
      <c r="F109" s="44">
        <v>776.983950937461</v>
      </c>
      <c r="G109" s="44">
        <v>697.2833394288035</v>
      </c>
      <c r="H109" s="44">
        <v>738.9313007200002</v>
      </c>
    </row>
    <row r="110" spans="1:8" ht="15">
      <c r="A110" s="43" t="str">
        <f>HLOOKUP(INDICE!$F$2,Nombres!$C$3:$D$636,69,FALSE)</f>
        <v>Pension funds</v>
      </c>
      <c r="B110" s="44" t="s">
        <v>407</v>
      </c>
      <c r="C110" s="44" t="s">
        <v>407</v>
      </c>
      <c r="D110" s="44" t="s">
        <v>407</v>
      </c>
      <c r="E110" s="45" t="s">
        <v>407</v>
      </c>
      <c r="F110" s="44" t="s">
        <v>407</v>
      </c>
      <c r="G110" s="44" t="s">
        <v>407</v>
      </c>
      <c r="H110" s="44" t="s">
        <v>407</v>
      </c>
    </row>
    <row r="111" spans="1:8" ht="15">
      <c r="A111" s="43" t="str">
        <f>HLOOKUP(INDICE!$F$2,Nombres!$C$3:$D$636,70,FALSE)</f>
        <v>Other off balance-sheet funds</v>
      </c>
      <c r="B111" s="44">
        <v>120.28647654113271</v>
      </c>
      <c r="C111" s="44">
        <v>318.7503957756111</v>
      </c>
      <c r="D111" s="44">
        <v>301.73384607892456</v>
      </c>
      <c r="E111" s="45">
        <v>328.41670465168187</v>
      </c>
      <c r="F111" s="44">
        <v>551.8439171830623</v>
      </c>
      <c r="G111" s="44">
        <v>559.6255729335198</v>
      </c>
      <c r="H111" s="44">
        <v>384.79271908000004</v>
      </c>
    </row>
    <row r="112" spans="1:8" ht="15">
      <c r="A112" s="65" t="str">
        <f>HLOOKUP(INDICE!$F$2,Nombres!$C$3:$D$636,71,FALSE)</f>
        <v>(*) Excluding repos. </v>
      </c>
      <c r="B112" s="60"/>
      <c r="C112" s="60"/>
      <c r="D112" s="60"/>
      <c r="E112" s="60"/>
      <c r="F112" s="60"/>
      <c r="G112" s="60"/>
      <c r="H112" s="60"/>
    </row>
    <row r="113" spans="1:8" ht="15">
      <c r="A113" s="65">
        <f>HLOOKUP(INDICE!$F$2,Nombres!$C$3:$D$636,72,FALSE)</f>
        <v>0</v>
      </c>
      <c r="B113" s="30"/>
      <c r="C113" s="30"/>
      <c r="D113" s="30"/>
      <c r="E113" s="30"/>
      <c r="F113" s="30"/>
      <c r="G113" s="30"/>
      <c r="H113" s="30"/>
    </row>
    <row r="114" spans="1:8" ht="15">
      <c r="A114" s="65"/>
      <c r="B114" s="60"/>
      <c r="C114" s="44"/>
      <c r="D114" s="44"/>
      <c r="E114" s="44"/>
      <c r="F114" s="44"/>
      <c r="G114" s="30"/>
      <c r="H114" s="30"/>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63" spans="6:8" ht="15">
      <c r="F163" s="86"/>
      <c r="G163" s="86"/>
      <c r="H163" s="86"/>
    </row>
    <row r="164" spans="6:8" ht="15">
      <c r="F164" s="86"/>
      <c r="G164" s="86"/>
      <c r="H164" s="86"/>
    </row>
    <row r="165" spans="6:8" ht="15">
      <c r="F165" s="86"/>
      <c r="G165" s="86"/>
      <c r="H165" s="86"/>
    </row>
    <row r="166" spans="6:8" ht="15">
      <c r="F166" s="86"/>
      <c r="G166" s="86"/>
      <c r="H166" s="86"/>
    </row>
    <row r="1000" ht="15">
      <c r="A1000" s="31" t="s">
        <v>406</v>
      </c>
    </row>
  </sheetData>
  <sheetProtection/>
  <mergeCells count="4">
    <mergeCell ref="B6:E6"/>
    <mergeCell ref="B62:E62"/>
    <mergeCell ref="F6:H6"/>
    <mergeCell ref="F62:H62"/>
  </mergeCells>
  <conditionalFormatting sqref="B26:H26">
    <cfRule type="cellIs" priority="2" dxfId="92" operator="notBetween">
      <formula>0.5</formula>
      <formula>-0.5</formula>
    </cfRule>
  </conditionalFormatting>
  <conditionalFormatting sqref="B82:H82">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A2" sqref="A2"/>
    </sheetView>
  </sheetViews>
  <sheetFormatPr defaultColWidth="12.57421875" defaultRowHeight="15"/>
  <cols>
    <col min="1" max="1" width="40.7109375" style="102" customWidth="1"/>
    <col min="2" max="8" width="10.00390625" style="102" customWidth="1"/>
    <col min="9" max="255" width="12.57421875" style="102" customWidth="1"/>
  </cols>
  <sheetData>
    <row r="1" spans="1:8" ht="18">
      <c r="A1" s="100" t="str">
        <f>HLOOKUP(INDICE!$F$2,Nombres!$C$3:$D$636,82,FALSE)</f>
        <v>Efficiency (*)</v>
      </c>
      <c r="B1" s="101"/>
      <c r="C1" s="101"/>
      <c r="D1" s="101"/>
      <c r="E1" s="101"/>
      <c r="F1" s="101"/>
      <c r="G1" s="101"/>
      <c r="H1" s="101"/>
    </row>
    <row r="2" spans="1:8" ht="15">
      <c r="A2" s="103" t="str">
        <f>HLOOKUP(INDICE!$F$2,Nombres!$C$3:$D$636,84,FALSE)</f>
        <v>(Percentage)</v>
      </c>
      <c r="B2" s="104"/>
      <c r="C2" s="104"/>
      <c r="D2" s="104"/>
      <c r="E2" s="104"/>
      <c r="F2" s="104"/>
      <c r="G2" s="104"/>
      <c r="H2" s="104"/>
    </row>
    <row r="3" spans="1:8" ht="15.75">
      <c r="A3" s="105"/>
      <c r="B3" s="106">
        <f>+España!B30</f>
        <v>43190</v>
      </c>
      <c r="C3" s="106">
        <f>+España!C30</f>
        <v>43281</v>
      </c>
      <c r="D3" s="106">
        <f>+España!D30</f>
        <v>43373</v>
      </c>
      <c r="E3" s="106">
        <f>+España!E30</f>
        <v>43465</v>
      </c>
      <c r="F3" s="106">
        <f>+España!F30</f>
        <v>43555</v>
      </c>
      <c r="G3" s="106">
        <f>+España!G30</f>
        <v>43646</v>
      </c>
      <c r="H3" s="106">
        <f>+España!H30</f>
        <v>43738</v>
      </c>
    </row>
    <row r="4" spans="1:8" ht="15">
      <c r="A4" s="104"/>
      <c r="B4" s="107"/>
      <c r="C4" s="107"/>
      <c r="D4" s="107"/>
      <c r="E4" s="108"/>
      <c r="F4" s="107"/>
      <c r="G4" s="107"/>
      <c r="H4" s="104"/>
    </row>
    <row r="5" spans="1:255" ht="15">
      <c r="A5" s="109" t="str">
        <f>HLOOKUP(INDICE!$F$2,Nombres!$C$3:$D$636,3,FALSE)</f>
        <v>BBVA Group</v>
      </c>
      <c r="B5" s="110">
        <v>49.37577889692981</v>
      </c>
      <c r="C5" s="110">
        <v>49.70164744169299</v>
      </c>
      <c r="D5" s="110">
        <v>49.56360857487705</v>
      </c>
      <c r="E5" s="111">
        <v>49.27821898191192</v>
      </c>
      <c r="F5" s="112">
        <v>48.14505023260383</v>
      </c>
      <c r="G5" s="112">
        <v>48.99703665656422</v>
      </c>
      <c r="H5" s="112">
        <v>48.66449224265393</v>
      </c>
      <c r="I5" s="113"/>
      <c r="J5" s="11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1" ht="15">
      <c r="A6" s="104"/>
      <c r="B6" s="114"/>
      <c r="C6" s="114"/>
      <c r="D6" s="114"/>
      <c r="E6" s="115"/>
      <c r="F6" s="114"/>
      <c r="G6" s="114"/>
      <c r="H6" s="114"/>
      <c r="I6" s="116"/>
      <c r="J6" s="116"/>
      <c r="K6" s="116"/>
    </row>
    <row r="7" spans="1:255" ht="15">
      <c r="A7" s="61" t="str">
        <f>HLOOKUP(INDICE!$F$2,Nombres!$C$3:$D$636,7,FALSE)</f>
        <v>Spain</v>
      </c>
      <c r="B7" s="117">
        <v>53.1537369352727</v>
      </c>
      <c r="C7" s="117">
        <v>55.80302611667436</v>
      </c>
      <c r="D7" s="117">
        <v>56.02463416211295</v>
      </c>
      <c r="E7" s="118">
        <v>55.87107174264359</v>
      </c>
      <c r="F7" s="119">
        <v>54.39140337146377</v>
      </c>
      <c r="G7" s="119">
        <v>57.776902139697384</v>
      </c>
      <c r="H7" s="119">
        <v>56.67685229188636</v>
      </c>
      <c r="I7" s="113"/>
      <c r="J7" s="11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104"/>
      <c r="B8" s="114"/>
      <c r="C8" s="114"/>
      <c r="D8" s="114"/>
      <c r="E8" s="115"/>
      <c r="F8" s="114"/>
      <c r="G8" s="114"/>
      <c r="H8" s="114"/>
      <c r="I8" s="120"/>
      <c r="J8" s="116"/>
      <c r="K8" s="116"/>
    </row>
    <row r="9" spans="1:255" ht="15">
      <c r="A9" s="61" t="str">
        <f>HLOOKUP(INDICE!$F$2,Nombres!$C$3:$D$636,10,FALSE)</f>
        <v>USA</v>
      </c>
      <c r="B9" s="117">
        <v>62.17934731377892</v>
      </c>
      <c r="C9" s="117">
        <v>62.14108938391267</v>
      </c>
      <c r="D9" s="117">
        <v>62.85092577847622</v>
      </c>
      <c r="E9" s="118">
        <v>62.24369602841725</v>
      </c>
      <c r="F9" s="119">
        <v>58.816327838863316</v>
      </c>
      <c r="G9" s="119">
        <v>59.41534680562488</v>
      </c>
      <c r="H9" s="119">
        <v>59.521873389360124</v>
      </c>
      <c r="I9" s="113"/>
      <c r="J9" s="11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104"/>
      <c r="B10" s="114"/>
      <c r="C10" s="114"/>
      <c r="D10" s="114"/>
      <c r="E10" s="115"/>
      <c r="F10" s="114"/>
      <c r="G10" s="114"/>
      <c r="H10" s="114"/>
      <c r="I10" s="120"/>
      <c r="J10" s="116"/>
      <c r="K10" s="116"/>
    </row>
    <row r="11" spans="1:11" ht="15">
      <c r="A11" s="61" t="str">
        <f>HLOOKUP(INDICE!$F$2,Nombres!$C$3:$D$636,11,FALSE)</f>
        <v>Mexico</v>
      </c>
      <c r="B11" s="117">
        <v>33.48538027596018</v>
      </c>
      <c r="C11" s="117">
        <v>33.364872691454664</v>
      </c>
      <c r="D11" s="117">
        <v>33.285939428751995</v>
      </c>
      <c r="E11" s="118">
        <v>33.26124183940236</v>
      </c>
      <c r="F11" s="119">
        <v>33.34160122513832</v>
      </c>
      <c r="G11" s="119">
        <v>33.07127085731837</v>
      </c>
      <c r="H11" s="119">
        <v>33.11856159958715</v>
      </c>
      <c r="I11" s="120"/>
      <c r="J11" s="116"/>
      <c r="K11" s="116"/>
    </row>
    <row r="12" spans="1:11" ht="15">
      <c r="A12" s="104"/>
      <c r="B12" s="114"/>
      <c r="C12" s="114"/>
      <c r="D12" s="114"/>
      <c r="E12" s="115"/>
      <c r="F12" s="114"/>
      <c r="G12" s="114"/>
      <c r="H12" s="114"/>
      <c r="I12" s="120"/>
      <c r="J12" s="116"/>
      <c r="K12" s="116"/>
    </row>
    <row r="13" spans="1:255" ht="15">
      <c r="A13" s="61" t="str">
        <f>HLOOKUP(INDICE!$F$2,Nombres!$C$3:$D$636,12,FALSE)</f>
        <v>Turkey </v>
      </c>
      <c r="B13" s="117">
        <v>35.668263512046295</v>
      </c>
      <c r="C13" s="117">
        <v>35.29296333080396</v>
      </c>
      <c r="D13" s="117">
        <v>32.73088290006053</v>
      </c>
      <c r="E13" s="118">
        <v>31.971785134293494</v>
      </c>
      <c r="F13" s="119">
        <v>35.402997540878076</v>
      </c>
      <c r="G13" s="119">
        <v>35.40222639531226</v>
      </c>
      <c r="H13" s="119">
        <v>34.790454759229156</v>
      </c>
      <c r="I13" s="113"/>
      <c r="J13" s="1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5">
      <c r="A14" s="104"/>
      <c r="B14" s="114"/>
      <c r="C14" s="114"/>
      <c r="D14" s="114"/>
      <c r="E14" s="115"/>
      <c r="F14" s="114"/>
      <c r="G14" s="114"/>
      <c r="H14" s="114"/>
      <c r="I14" s="116"/>
      <c r="J14" s="116"/>
      <c r="K14" s="116"/>
    </row>
    <row r="15" spans="1:255" ht="15">
      <c r="A15" s="61" t="str">
        <f>HLOOKUP(INDICE!$F$2,Nombres!$C$3:$D$636,13,FALSE)</f>
        <v>South America</v>
      </c>
      <c r="B15" s="117">
        <v>48.09472257593123</v>
      </c>
      <c r="C15" s="117">
        <v>45.749617448315824</v>
      </c>
      <c r="D15" s="117">
        <v>45.51730893864748</v>
      </c>
      <c r="E15" s="118">
        <v>46.18544990294207</v>
      </c>
      <c r="F15" s="119">
        <v>38.434859777107846</v>
      </c>
      <c r="G15" s="119">
        <v>39.07273965685615</v>
      </c>
      <c r="H15" s="119">
        <v>39.893814060913435</v>
      </c>
      <c r="I15" s="113"/>
      <c r="J15" s="113"/>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1" ht="15">
      <c r="A16" s="104"/>
      <c r="B16" s="114"/>
      <c r="C16" s="114"/>
      <c r="D16" s="114"/>
      <c r="E16" s="115"/>
      <c r="F16" s="114"/>
      <c r="G16" s="114"/>
      <c r="H16" s="114"/>
      <c r="I16" s="116"/>
      <c r="J16" s="116"/>
      <c r="K16" s="116"/>
    </row>
    <row r="17" spans="1:8" ht="15">
      <c r="A17" s="61" t="str">
        <f>HLOOKUP(INDICE!$F$2,Nombres!$C$3:$D$636,18,FALSE)</f>
        <v>Rest of Eurasia</v>
      </c>
      <c r="B17" s="117">
        <v>56.7548058922298</v>
      </c>
      <c r="C17" s="117">
        <v>64.55484961896502</v>
      </c>
      <c r="D17" s="117">
        <v>67.30637835657411</v>
      </c>
      <c r="E17" s="118">
        <v>69.25874293059259</v>
      </c>
      <c r="F17" s="119">
        <v>67.28779094649842</v>
      </c>
      <c r="G17" s="119">
        <v>64.47610724615278</v>
      </c>
      <c r="H17" s="119">
        <v>62.82087228871301</v>
      </c>
    </row>
    <row r="18" spans="1:11" ht="15">
      <c r="A18" s="104"/>
      <c r="B18" s="121"/>
      <c r="C18" s="121"/>
      <c r="D18" s="121"/>
      <c r="E18" s="121"/>
      <c r="F18" s="121"/>
      <c r="G18" s="121"/>
      <c r="H18" s="104"/>
      <c r="I18" s="116"/>
      <c r="J18" s="116"/>
      <c r="K18" s="116"/>
    </row>
    <row r="19" spans="1:11" ht="15">
      <c r="A19" s="122" t="str">
        <f>HLOOKUP(INDICE!$F$2,Nombres!$C$3:$D$636,83,FALSE)</f>
        <v>(*) Operating expenses / Gross income. Including depreciation</v>
      </c>
      <c r="B19" s="104"/>
      <c r="C19" s="104"/>
      <c r="D19" s="104"/>
      <c r="E19" s="104"/>
      <c r="F19" s="104"/>
      <c r="G19" s="104"/>
      <c r="H19" s="104"/>
      <c r="I19" s="116"/>
      <c r="J19" s="116"/>
      <c r="K19" s="116"/>
    </row>
    <row r="20" spans="1:11" ht="15">
      <c r="A20" s="123"/>
      <c r="B20" s="123"/>
      <c r="C20" s="123"/>
      <c r="D20" s="123"/>
      <c r="E20" s="123"/>
      <c r="F20" s="123"/>
      <c r="G20" s="123"/>
      <c r="H20" s="123"/>
      <c r="I20" s="116"/>
      <c r="J20" s="116"/>
      <c r="K20" s="116"/>
    </row>
    <row r="21" spans="1:8" ht="15">
      <c r="A21" s="123"/>
      <c r="B21" s="123"/>
      <c r="C21" s="123"/>
      <c r="D21" s="123"/>
      <c r="E21" s="123"/>
      <c r="F21" s="123"/>
      <c r="G21" s="123"/>
      <c r="H21" s="123"/>
    </row>
    <row r="1000" ht="15">
      <c r="A1000" s="102" t="s">
        <v>406</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A2" sqref="A2"/>
    </sheetView>
  </sheetViews>
  <sheetFormatPr defaultColWidth="12.57421875" defaultRowHeight="15"/>
  <cols>
    <col min="1" max="1" width="45.7109375" style="160" customWidth="1"/>
    <col min="2" max="6" width="10.8515625" style="102" customWidth="1" collapsed="1"/>
    <col min="7" max="7" width="10.8515625" style="102" customWidth="1"/>
    <col min="8" max="8" width="10.8515625" style="125" customWidth="1"/>
    <col min="9" max="10" width="9.57421875" style="125" customWidth="1"/>
    <col min="11" max="255" width="12.57421875" style="125" customWidth="1"/>
  </cols>
  <sheetData>
    <row r="1" spans="1:8" ht="19.5">
      <c r="A1" s="100" t="str">
        <f>HLOOKUP(INDICE!$F$2,Nombres!$C$3:$D$636,85,FALSE)</f>
        <v>NPL ratio</v>
      </c>
      <c r="B1" s="124"/>
      <c r="C1" s="124"/>
      <c r="D1" s="124"/>
      <c r="E1" s="124"/>
      <c r="F1" s="124"/>
      <c r="G1" s="101"/>
      <c r="H1" s="101"/>
    </row>
    <row r="2" spans="1:8" ht="15">
      <c r="A2" s="103" t="str">
        <f>HLOOKUP(INDICE!$F$2,Nombres!$C$3:$D$636,84,FALSE)</f>
        <v>(Percentage)</v>
      </c>
      <c r="B2" s="104"/>
      <c r="C2" s="104"/>
      <c r="D2" s="104"/>
      <c r="E2" s="104"/>
      <c r="F2" s="104"/>
      <c r="G2" s="104"/>
      <c r="H2" s="104"/>
    </row>
    <row r="3" spans="1:8" ht="15.75">
      <c r="A3" s="104"/>
      <c r="B3" s="126">
        <f>+España!B$30</f>
        <v>43190</v>
      </c>
      <c r="C3" s="126">
        <f>+España!C$30</f>
        <v>43281</v>
      </c>
      <c r="D3" s="126">
        <f>+España!D$30</f>
        <v>43373</v>
      </c>
      <c r="E3" s="126">
        <f>+España!E$30</f>
        <v>43465</v>
      </c>
      <c r="F3" s="126">
        <f>+España!F$30</f>
        <v>43555</v>
      </c>
      <c r="G3" s="126">
        <f>+España!G$30</f>
        <v>43646</v>
      </c>
      <c r="H3" s="126">
        <f>+España!H$30</f>
        <v>43738</v>
      </c>
    </row>
    <row r="4" spans="1:8" ht="15">
      <c r="A4" s="104"/>
      <c r="B4" s="107"/>
      <c r="C4" s="107"/>
      <c r="D4" s="104"/>
      <c r="E4" s="127"/>
      <c r="F4" s="107"/>
      <c r="G4" s="107"/>
      <c r="H4" s="104"/>
    </row>
    <row r="5" spans="1:255" ht="15">
      <c r="A5" s="109" t="str">
        <f>HLOOKUP(INDICE!$F$2,Nombres!$C$3:$D$636,3,FALSE)</f>
        <v>BBVA Group</v>
      </c>
      <c r="B5" s="110">
        <v>4.410838039265202</v>
      </c>
      <c r="C5" s="110">
        <v>4.352179254599031</v>
      </c>
      <c r="D5" s="110">
        <v>4.130921634813759</v>
      </c>
      <c r="E5" s="111">
        <v>3.9389568177606624</v>
      </c>
      <c r="F5" s="110">
        <v>3.938797707459412</v>
      </c>
      <c r="G5" s="112">
        <v>3.840750505641798</v>
      </c>
      <c r="H5" s="112">
        <v>3.900664612738405</v>
      </c>
      <c r="I5" s="128"/>
      <c r="J5" s="12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104"/>
      <c r="B6" s="114"/>
      <c r="C6" s="114"/>
      <c r="D6" s="114"/>
      <c r="E6" s="115"/>
      <c r="F6" s="114"/>
      <c r="G6" s="114"/>
      <c r="H6" s="114"/>
      <c r="I6" s="128"/>
      <c r="J6" s="129"/>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5">
      <c r="A7" s="61" t="str">
        <f>HLOOKUP(INDICE!$F$2,Nombres!$C$3:$D$636,7,FALSE)</f>
        <v>Spain</v>
      </c>
      <c r="B7" s="117">
        <v>6.578547109200153</v>
      </c>
      <c r="C7" s="117">
        <v>6.324624965143158</v>
      </c>
      <c r="D7" s="117">
        <v>5.627953461916468</v>
      </c>
      <c r="E7" s="118">
        <v>5.103428610253874</v>
      </c>
      <c r="F7" s="117">
        <v>4.948403994016465</v>
      </c>
      <c r="G7" s="119">
        <v>4.603987549229379</v>
      </c>
      <c r="H7" s="119">
        <v>4.578169053798744</v>
      </c>
      <c r="I7" s="128"/>
      <c r="J7" s="12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0" ht="15">
      <c r="A8" s="104"/>
      <c r="B8" s="114"/>
      <c r="C8" s="114"/>
      <c r="D8" s="114"/>
      <c r="E8" s="115"/>
      <c r="F8" s="114"/>
      <c r="G8" s="114"/>
      <c r="H8" s="114"/>
      <c r="I8" s="128"/>
      <c r="J8" s="131"/>
    </row>
    <row r="9" spans="1:255" ht="15">
      <c r="A9" s="61" t="str">
        <f>HLOOKUP(INDICE!$F$2,Nombres!$C$3:$D$636,10,FALSE)</f>
        <v>USA</v>
      </c>
      <c r="B9" s="117">
        <v>1.1688488249245594</v>
      </c>
      <c r="C9" s="117">
        <v>1.195317684382126</v>
      </c>
      <c r="D9" s="117">
        <v>1.1003067142506437</v>
      </c>
      <c r="E9" s="118">
        <v>1.2571006676507832</v>
      </c>
      <c r="F9" s="117">
        <v>1.4029665896681813</v>
      </c>
      <c r="G9" s="119">
        <v>1.308617051444271</v>
      </c>
      <c r="H9" s="119">
        <v>1.0974046074920774</v>
      </c>
      <c r="I9" s="12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0" ht="15">
      <c r="A10" s="104"/>
      <c r="B10" s="114"/>
      <c r="C10" s="114"/>
      <c r="D10" s="114"/>
      <c r="E10" s="115"/>
      <c r="F10" s="114"/>
      <c r="G10" s="114"/>
      <c r="H10" s="114"/>
      <c r="I10" s="128"/>
      <c r="J10" s="131"/>
    </row>
    <row r="11" spans="1:10" ht="15">
      <c r="A11" s="61" t="str">
        <f>HLOOKUP(INDICE!$F$2,Nombres!$C$3:$D$636,11,FALSE)</f>
        <v>Mexico</v>
      </c>
      <c r="B11" s="117">
        <v>2.129409858582437</v>
      </c>
      <c r="C11" s="117">
        <v>1.9642932301377627</v>
      </c>
      <c r="D11" s="117">
        <v>2.0220795483705696</v>
      </c>
      <c r="E11" s="118">
        <v>2.052413265836875</v>
      </c>
      <c r="F11" s="117">
        <v>2.038759011769611</v>
      </c>
      <c r="G11" s="119">
        <v>2.18631706301653</v>
      </c>
      <c r="H11" s="119">
        <v>2.388529667685984</v>
      </c>
      <c r="I11" s="128"/>
      <c r="J11" s="131"/>
    </row>
    <row r="12" spans="1:10" ht="15">
      <c r="A12" s="104"/>
      <c r="B12" s="114"/>
      <c r="C12" s="114"/>
      <c r="D12" s="114"/>
      <c r="E12" s="115"/>
      <c r="F12" s="114"/>
      <c r="G12" s="114"/>
      <c r="H12" s="114"/>
      <c r="I12" s="128"/>
      <c r="J12" s="131"/>
    </row>
    <row r="13" spans="1:255" ht="15">
      <c r="A13" s="61" t="str">
        <f>HLOOKUP(INDICE!$F$2,Nombres!$C$3:$D$636,12,FALSE)</f>
        <v>Turkey </v>
      </c>
      <c r="B13" s="117">
        <v>3.7277549320549213</v>
      </c>
      <c r="C13" s="117">
        <v>4.4748865673876</v>
      </c>
      <c r="D13" s="117">
        <v>5.156707921804905</v>
      </c>
      <c r="E13" s="118">
        <v>5.250371613722836</v>
      </c>
      <c r="F13" s="117">
        <v>5.747430227097583</v>
      </c>
      <c r="G13" s="119">
        <v>6.329489946442276</v>
      </c>
      <c r="H13" s="119">
        <v>7.189493216331347</v>
      </c>
      <c r="I13" s="128"/>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0" ht="15">
      <c r="A14" s="104"/>
      <c r="B14" s="114"/>
      <c r="C14" s="114"/>
      <c r="D14" s="114"/>
      <c r="E14" s="115"/>
      <c r="F14" s="114"/>
      <c r="G14" s="114"/>
      <c r="H14" s="114"/>
      <c r="I14" s="128"/>
      <c r="J14" s="131"/>
    </row>
    <row r="15" spans="1:255" ht="15">
      <c r="A15" s="61" t="str">
        <f>HLOOKUP(INDICE!$F$2,Nombres!$C$3:$D$636,13,FALSE)</f>
        <v>South America</v>
      </c>
      <c r="B15" s="117">
        <v>3.6148030352735674</v>
      </c>
      <c r="C15" s="117">
        <v>3.723676167789457</v>
      </c>
      <c r="D15" s="117">
        <v>4.256353244266041</v>
      </c>
      <c r="E15" s="118">
        <v>4.316357672356568</v>
      </c>
      <c r="F15" s="117">
        <v>4.375262622171091</v>
      </c>
      <c r="G15" s="119">
        <v>4.431582178772133</v>
      </c>
      <c r="H15" s="119">
        <v>4.401656122016425</v>
      </c>
      <c r="I15" s="128"/>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04"/>
      <c r="B16" s="132"/>
      <c r="C16" s="132"/>
      <c r="D16" s="132"/>
      <c r="E16" s="133"/>
      <c r="F16" s="132"/>
      <c r="G16" s="252"/>
      <c r="H16" s="252"/>
      <c r="I16" s="128"/>
      <c r="J16" s="131"/>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row>
    <row r="17" spans="1:8" ht="15">
      <c r="A17" s="61" t="str">
        <f>HLOOKUP(INDICE!$F$2,Nombres!$C$3:$D$636,18,FALSE)</f>
        <v>Rest of Eurasia</v>
      </c>
      <c r="B17" s="117">
        <v>1.9638286637600957</v>
      </c>
      <c r="C17" s="117">
        <v>1.5926291838991196</v>
      </c>
      <c r="D17" s="117">
        <v>1.5087129080803234</v>
      </c>
      <c r="E17" s="118">
        <v>1.6574101818266673</v>
      </c>
      <c r="F17" s="117">
        <v>1.5916817252835276</v>
      </c>
      <c r="G17" s="119">
        <v>1.3879928047261318</v>
      </c>
      <c r="H17" s="119">
        <v>1.3323388414184951</v>
      </c>
    </row>
    <row r="18" spans="1:255" ht="15">
      <c r="A18" s="134"/>
      <c r="B18" s="132"/>
      <c r="C18" s="132"/>
      <c r="D18" s="135"/>
      <c r="E18" s="135"/>
      <c r="F18" s="132"/>
      <c r="G18" s="132"/>
      <c r="H18" s="135"/>
      <c r="I18" s="131"/>
      <c r="J18" s="131"/>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row>
    <row r="19" spans="1:10" ht="15">
      <c r="A19" s="104"/>
      <c r="B19" s="132"/>
      <c r="C19" s="132"/>
      <c r="D19" s="135"/>
      <c r="E19" s="135"/>
      <c r="F19" s="132"/>
      <c r="G19" s="132"/>
      <c r="H19" s="135"/>
      <c r="I19" s="131"/>
      <c r="J19" s="131"/>
    </row>
    <row r="20" spans="1:255" ht="18">
      <c r="A20" s="100" t="str">
        <f>HLOOKUP(INDICE!$F$2,Nombres!$C$3:$D$636,86,FALSE)</f>
        <v>NPL coverage ratio</v>
      </c>
      <c r="B20" s="136"/>
      <c r="C20" s="136"/>
      <c r="D20" s="137"/>
      <c r="E20" s="137"/>
      <c r="F20" s="136"/>
      <c r="G20" s="136"/>
      <c r="H20" s="137"/>
      <c r="I20" s="131"/>
      <c r="J20" s="131"/>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c r="IR20" s="138"/>
      <c r="IS20" s="138"/>
      <c r="IT20" s="138"/>
      <c r="IU20" s="138"/>
    </row>
    <row r="21" spans="1:10" ht="15">
      <c r="A21" s="103" t="str">
        <f>HLOOKUP(INDICE!$F$2,Nombres!$C$3:$D$636,84,FALSE)</f>
        <v>(Percentage)</v>
      </c>
      <c r="B21" s="121"/>
      <c r="C21" s="121"/>
      <c r="D21" s="135"/>
      <c r="E21" s="135"/>
      <c r="F21" s="121"/>
      <c r="G21" s="121"/>
      <c r="H21" s="135"/>
      <c r="I21" s="131"/>
      <c r="J21" s="131"/>
    </row>
    <row r="22" spans="1:10" ht="15.75">
      <c r="A22" s="104"/>
      <c r="B22" s="126">
        <f>+B$3</f>
        <v>43190</v>
      </c>
      <c r="C22" s="126">
        <f aca="true" t="shared" si="0" ref="C22:H22">+C$3</f>
        <v>43281</v>
      </c>
      <c r="D22" s="126">
        <f t="shared" si="0"/>
        <v>43373</v>
      </c>
      <c r="E22" s="126">
        <f t="shared" si="0"/>
        <v>43465</v>
      </c>
      <c r="F22" s="126">
        <f t="shared" si="0"/>
        <v>43555</v>
      </c>
      <c r="G22" s="126">
        <f t="shared" si="0"/>
        <v>43646</v>
      </c>
      <c r="H22" s="126">
        <f t="shared" si="0"/>
        <v>43738</v>
      </c>
      <c r="I22" s="131"/>
      <c r="J22" s="131"/>
    </row>
    <row r="23" spans="1:10" ht="15">
      <c r="A23" s="104"/>
      <c r="B23" s="139"/>
      <c r="C23" s="139"/>
      <c r="D23" s="135"/>
      <c r="E23" s="135"/>
      <c r="F23" s="139"/>
      <c r="G23" s="139"/>
      <c r="H23" s="135"/>
      <c r="I23" s="131"/>
      <c r="J23" s="131"/>
    </row>
    <row r="24" spans="1:255" ht="15">
      <c r="A24" s="109" t="str">
        <f>HLOOKUP(INDICE!$F$2,Nombres!$C$3:$D$636,3,FALSE)</f>
        <v>BBVA Group</v>
      </c>
      <c r="B24" s="140">
        <v>72.65980533705793</v>
      </c>
      <c r="C24" s="140">
        <v>71.00096871382874</v>
      </c>
      <c r="D24" s="140">
        <v>72.85355097470803</v>
      </c>
      <c r="E24" s="141">
        <v>73.11628511285497</v>
      </c>
      <c r="F24" s="140">
        <v>74.0833351497957</v>
      </c>
      <c r="G24" s="253">
        <v>74.63308685307358</v>
      </c>
      <c r="H24" s="253">
        <v>75.42395902581653</v>
      </c>
      <c r="I24" s="142"/>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104"/>
      <c r="B25" s="143"/>
      <c r="C25" s="143"/>
      <c r="D25" s="143"/>
      <c r="E25" s="144"/>
      <c r="F25" s="143"/>
      <c r="G25" s="143"/>
      <c r="H25" s="143"/>
      <c r="I25" s="142"/>
      <c r="J25" s="131"/>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row>
    <row r="26" spans="1:255" ht="15">
      <c r="A26" s="61" t="str">
        <f>HLOOKUP(INDICE!$F$2,Nombres!$C$3:$D$636,7,FALSE)</f>
        <v>Spain</v>
      </c>
      <c r="B26" s="145">
        <v>58.62266643085412</v>
      </c>
      <c r="C26" s="145">
        <v>58.16206337369927</v>
      </c>
      <c r="D26" s="145">
        <v>57.26169527852404</v>
      </c>
      <c r="E26" s="146">
        <v>56.7439581511345</v>
      </c>
      <c r="F26" s="145">
        <v>57.80998489416923</v>
      </c>
      <c r="G26" s="254">
        <v>57.97168826053406</v>
      </c>
      <c r="H26" s="254">
        <v>58.868286177930095</v>
      </c>
      <c r="I26" s="142"/>
      <c r="J26" s="14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0" ht="15">
      <c r="A27" s="104"/>
      <c r="B27" s="143"/>
      <c r="C27" s="143"/>
      <c r="D27" s="143"/>
      <c r="E27" s="144"/>
      <c r="F27" s="143"/>
      <c r="G27" s="143"/>
      <c r="H27" s="143"/>
      <c r="I27" s="142"/>
      <c r="J27" s="131"/>
    </row>
    <row r="28" spans="1:255" ht="15">
      <c r="A28" s="61" t="str">
        <f>HLOOKUP(INDICE!$F$2,Nombres!$C$3:$D$636,10,FALSE)</f>
        <v>USA</v>
      </c>
      <c r="B28" s="145">
        <v>98.09104358843501</v>
      </c>
      <c r="C28" s="145">
        <v>93.3125645678977</v>
      </c>
      <c r="D28" s="145">
        <v>101.11133015211313</v>
      </c>
      <c r="E28" s="146">
        <v>84.65946241240587</v>
      </c>
      <c r="F28" s="145">
        <v>84.87265564593575</v>
      </c>
      <c r="G28" s="254">
        <v>91.17346647632841</v>
      </c>
      <c r="H28" s="254">
        <v>102.14036710893441</v>
      </c>
      <c r="I28" s="142"/>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0" ht="15">
      <c r="A29" s="104"/>
      <c r="B29" s="143"/>
      <c r="C29" s="143"/>
      <c r="D29" s="143"/>
      <c r="E29" s="144"/>
      <c r="F29" s="143"/>
      <c r="G29" s="143"/>
      <c r="H29" s="143"/>
      <c r="I29" s="142"/>
      <c r="J29" s="131"/>
    </row>
    <row r="30" spans="1:255" ht="15">
      <c r="A30" s="61" t="str">
        <f>HLOOKUP(INDICE!$F$2,Nombres!$C$3:$D$636,11,FALSE)</f>
        <v>Mexico</v>
      </c>
      <c r="B30" s="145">
        <v>153.27095204832756</v>
      </c>
      <c r="C30" s="145">
        <v>154.58811836121532</v>
      </c>
      <c r="D30" s="145">
        <v>149.46022517398183</v>
      </c>
      <c r="E30" s="146">
        <v>154.09315588998024</v>
      </c>
      <c r="F30" s="145">
        <v>158.74652569918757</v>
      </c>
      <c r="G30" s="254">
        <v>147.66842995668318</v>
      </c>
      <c r="H30" s="254">
        <v>136.2228297468643</v>
      </c>
      <c r="I30" s="142"/>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104"/>
      <c r="B31" s="143"/>
      <c r="C31" s="143"/>
      <c r="D31" s="143"/>
      <c r="E31" s="144"/>
      <c r="F31" s="143"/>
      <c r="G31" s="143"/>
      <c r="H31" s="143"/>
      <c r="I31" s="142"/>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61" t="str">
        <f>HLOOKUP(INDICE!$F$2,Nombres!$C$3:$D$636,12,FALSE)</f>
        <v>Turkey </v>
      </c>
      <c r="B32" s="145">
        <v>85.75428031684513</v>
      </c>
      <c r="C32" s="145">
        <v>75.64958838351316</v>
      </c>
      <c r="D32" s="145">
        <v>76.46824488383285</v>
      </c>
      <c r="E32" s="146">
        <v>81.03437544876054</v>
      </c>
      <c r="F32" s="145">
        <v>77.64504167900044</v>
      </c>
      <c r="G32" s="254">
        <v>75.46014947289875</v>
      </c>
      <c r="H32" s="254">
        <v>74.5284545903617</v>
      </c>
      <c r="I32" s="14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0" ht="15">
      <c r="A33" s="104"/>
      <c r="B33" s="143"/>
      <c r="C33" s="143"/>
      <c r="D33" s="143"/>
      <c r="E33" s="144"/>
      <c r="F33" s="143"/>
      <c r="G33" s="143"/>
      <c r="H33" s="143"/>
      <c r="I33" s="142"/>
      <c r="J33" s="131"/>
    </row>
    <row r="34" spans="1:255" ht="15">
      <c r="A34" s="61" t="str">
        <f>HLOOKUP(INDICE!$F$2,Nombres!$C$3:$D$636,13,FALSE)</f>
        <v>South America</v>
      </c>
      <c r="B34" s="145">
        <v>93.10602132857963</v>
      </c>
      <c r="C34" s="145">
        <v>91.28620589735546</v>
      </c>
      <c r="D34" s="145">
        <v>101.4980606182421</v>
      </c>
      <c r="E34" s="146">
        <v>96.92020376956432</v>
      </c>
      <c r="F34" s="145">
        <v>95.74178951562412</v>
      </c>
      <c r="G34" s="254">
        <v>95.08390511442671</v>
      </c>
      <c r="H34" s="254">
        <v>96.55302078028674</v>
      </c>
      <c r="I34" s="142"/>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5">
      <c r="A35" s="104"/>
      <c r="B35" s="148"/>
      <c r="C35" s="148"/>
      <c r="D35" s="148"/>
      <c r="E35" s="149"/>
      <c r="F35" s="148"/>
      <c r="G35" s="255"/>
      <c r="H35" s="255"/>
      <c r="I35" s="142"/>
      <c r="J35" s="131"/>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130"/>
      <c r="IT35" s="130"/>
      <c r="IU35" s="130"/>
    </row>
    <row r="36" spans="1:8" ht="15">
      <c r="A36" s="61" t="str">
        <f>HLOOKUP(INDICE!$F$2,Nombres!$C$3:$D$636,18,FALSE)</f>
        <v>Rest of Eurasia</v>
      </c>
      <c r="B36" s="145">
        <v>87.86656232573783</v>
      </c>
      <c r="C36" s="145">
        <v>92.97385735613078</v>
      </c>
      <c r="D36" s="145">
        <v>100.49359273861866</v>
      </c>
      <c r="E36" s="146">
        <v>82.75630067428546</v>
      </c>
      <c r="F36" s="145">
        <v>83.8710109127425</v>
      </c>
      <c r="G36" s="254">
        <v>97.58406230218966</v>
      </c>
      <c r="H36" s="254">
        <v>96.69430996704168</v>
      </c>
    </row>
    <row r="37" spans="1:255" ht="15">
      <c r="A37" s="134"/>
      <c r="B37" s="150"/>
      <c r="C37" s="150"/>
      <c r="D37" s="135"/>
      <c r="E37" s="135"/>
      <c r="F37" s="150"/>
      <c r="G37" s="150"/>
      <c r="H37" s="135"/>
      <c r="I37" s="131"/>
      <c r="J37" s="131"/>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row>
    <row r="38" spans="1:10" ht="15">
      <c r="A38" s="104"/>
      <c r="B38" s="150"/>
      <c r="C38" s="150"/>
      <c r="D38" s="135"/>
      <c r="E38" s="135"/>
      <c r="F38" s="150"/>
      <c r="G38" s="150"/>
      <c r="H38" s="135"/>
      <c r="I38" s="131"/>
      <c r="J38" s="131"/>
    </row>
    <row r="39" spans="1:10" ht="18">
      <c r="A39" s="100" t="str">
        <f>HLOOKUP(INDICE!$F$2,Nombres!$C$3:$D$636,87,FALSE)</f>
        <v>Cost of risk</v>
      </c>
      <c r="B39" s="136"/>
      <c r="C39" s="136"/>
      <c r="D39" s="137"/>
      <c r="E39" s="137"/>
      <c r="F39" s="136"/>
      <c r="G39" s="136"/>
      <c r="H39" s="137"/>
      <c r="I39" s="131"/>
      <c r="J39" s="131"/>
    </row>
    <row r="40" spans="1:10" ht="15">
      <c r="A40" s="103" t="str">
        <f>HLOOKUP(INDICE!$F$2,Nombres!$C$3:$D$636,84,FALSE)</f>
        <v>(Percentage)</v>
      </c>
      <c r="B40" s="150"/>
      <c r="C40" s="150"/>
      <c r="D40" s="135"/>
      <c r="E40" s="135"/>
      <c r="F40" s="150"/>
      <c r="G40" s="150"/>
      <c r="H40" s="135"/>
      <c r="I40" s="131"/>
      <c r="J40" s="131"/>
    </row>
    <row r="41" spans="1:10" ht="15.75">
      <c r="A41" s="104"/>
      <c r="B41" s="126">
        <f>+B$3</f>
        <v>43190</v>
      </c>
      <c r="C41" s="126">
        <f aca="true" t="shared" si="1" ref="C41:H41">+C$3</f>
        <v>43281</v>
      </c>
      <c r="D41" s="126">
        <f t="shared" si="1"/>
        <v>43373</v>
      </c>
      <c r="E41" s="126">
        <f t="shared" si="1"/>
        <v>43465</v>
      </c>
      <c r="F41" s="126">
        <f t="shared" si="1"/>
        <v>43555</v>
      </c>
      <c r="G41" s="126">
        <f t="shared" si="1"/>
        <v>43646</v>
      </c>
      <c r="H41" s="126">
        <f t="shared" si="1"/>
        <v>43738</v>
      </c>
      <c r="I41" s="131"/>
      <c r="J41" s="131"/>
    </row>
    <row r="42" spans="1:10" ht="15">
      <c r="A42" s="104"/>
      <c r="B42" s="139"/>
      <c r="C42" s="139"/>
      <c r="D42" s="135"/>
      <c r="E42" s="135"/>
      <c r="F42" s="139"/>
      <c r="G42" s="139"/>
      <c r="H42" s="135"/>
      <c r="I42" s="131"/>
      <c r="J42" s="131"/>
    </row>
    <row r="43" spans="1:255" ht="15">
      <c r="A43" s="109" t="str">
        <f>HLOOKUP(INDICE!$F$2,Nombres!$C$3:$D$636,3,FALSE)</f>
        <v>BBVA Group</v>
      </c>
      <c r="B43" s="151">
        <v>0.8488828608087586</v>
      </c>
      <c r="C43" s="151">
        <v>0.8172567720133568</v>
      </c>
      <c r="D43" s="151">
        <v>0.8971441139176066</v>
      </c>
      <c r="E43" s="152">
        <v>1.0110789800068103</v>
      </c>
      <c r="F43" s="151">
        <v>1.0568133494551344</v>
      </c>
      <c r="G43" s="256">
        <v>0.9147458881456375</v>
      </c>
      <c r="H43" s="256">
        <v>1.0063472060723617</v>
      </c>
      <c r="I43" s="11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104"/>
      <c r="B44" s="153"/>
      <c r="C44" s="153"/>
      <c r="D44" s="153"/>
      <c r="E44" s="154"/>
      <c r="F44" s="153"/>
      <c r="G44" s="153"/>
      <c r="H44" s="153"/>
      <c r="I44" s="131"/>
      <c r="J44" s="131"/>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c r="IK44" s="130"/>
      <c r="IL44" s="130"/>
      <c r="IM44" s="130"/>
      <c r="IN44" s="130"/>
      <c r="IO44" s="130"/>
      <c r="IP44" s="130"/>
      <c r="IQ44" s="130"/>
      <c r="IR44" s="130"/>
      <c r="IS44" s="130"/>
      <c r="IT44" s="130"/>
      <c r="IU44" s="130"/>
    </row>
    <row r="45" spans="1:255" ht="15">
      <c r="A45" s="61" t="str">
        <f>HLOOKUP(INDICE!$F$2,Nombres!$C$3:$D$636,7,FALSE)</f>
        <v>Spain</v>
      </c>
      <c r="B45" s="155">
        <v>0.2921534557802823</v>
      </c>
      <c r="C45" s="155">
        <v>0.24776602860192526</v>
      </c>
      <c r="D45" s="155">
        <v>0.22222667526042486</v>
      </c>
      <c r="E45" s="156">
        <v>0.2147992708118744</v>
      </c>
      <c r="F45" s="155">
        <v>0.17558477038464385</v>
      </c>
      <c r="G45" s="257">
        <v>-0.03253920232005578</v>
      </c>
      <c r="H45" s="257">
        <v>0.08068323374028091</v>
      </c>
      <c r="I45" s="113"/>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0" ht="15">
      <c r="A46" s="104"/>
      <c r="B46" s="153"/>
      <c r="C46" s="153"/>
      <c r="D46" s="153"/>
      <c r="E46" s="154"/>
      <c r="F46" s="153"/>
      <c r="G46" s="153"/>
      <c r="H46" s="153"/>
      <c r="I46" s="131"/>
      <c r="J46" s="131"/>
    </row>
    <row r="47" spans="1:255" ht="15">
      <c r="A47" s="61" t="str">
        <f>HLOOKUP(INDICE!$F$2,Nombres!$C$3:$D$636,10,FALSE)</f>
        <v>USA</v>
      </c>
      <c r="B47" s="155">
        <v>0.15617070733024402</v>
      </c>
      <c r="C47" s="155">
        <v>0.23329805419301525</v>
      </c>
      <c r="D47" s="155">
        <v>0.330651606581017</v>
      </c>
      <c r="E47" s="156">
        <v>0.3933362260327724</v>
      </c>
      <c r="F47" s="155">
        <v>1.0569485211550307</v>
      </c>
      <c r="G47" s="257">
        <v>0.9371799424634694</v>
      </c>
      <c r="H47" s="257">
        <v>0.8738324074588072</v>
      </c>
      <c r="I47" s="113"/>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104"/>
      <c r="B48" s="153"/>
      <c r="C48" s="153"/>
      <c r="D48" s="153"/>
      <c r="E48" s="154"/>
      <c r="F48" s="153"/>
      <c r="G48" s="153"/>
      <c r="H48" s="153"/>
      <c r="I48" s="113"/>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61" t="str">
        <f>HLOOKUP(INDICE!$F$2,Nombres!$C$3:$D$636,11,FALSE)</f>
        <v>Mexico</v>
      </c>
      <c r="B49" s="155">
        <v>3.1826216363503086</v>
      </c>
      <c r="C49" s="155">
        <v>2.9302255116440046</v>
      </c>
      <c r="D49" s="155">
        <v>2.8225978533767364</v>
      </c>
      <c r="E49" s="156">
        <v>3.072537554693112</v>
      </c>
      <c r="F49" s="155">
        <v>2.927113611979482</v>
      </c>
      <c r="G49" s="257">
        <v>2.980907538022087</v>
      </c>
      <c r="H49" s="257">
        <v>2.9782791981216126</v>
      </c>
      <c r="I49" s="113"/>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0" ht="15">
      <c r="A50" s="104"/>
      <c r="B50" s="153"/>
      <c r="C50" s="153"/>
      <c r="D50" s="153"/>
      <c r="E50" s="154"/>
      <c r="F50" s="153"/>
      <c r="G50" s="153"/>
      <c r="H50" s="153"/>
      <c r="I50" s="131"/>
      <c r="J50" s="131"/>
    </row>
    <row r="51" spans="1:255" ht="15">
      <c r="A51" s="61" t="str">
        <f>HLOOKUP(INDICE!$F$2,Nombres!$C$3:$D$636,12,FALSE)</f>
        <v>Turkey </v>
      </c>
      <c r="B51" s="155">
        <v>1.1670833141360157</v>
      </c>
      <c r="C51" s="155">
        <v>1.2250242896809682</v>
      </c>
      <c r="D51" s="155">
        <v>1.7172594378188264</v>
      </c>
      <c r="E51" s="156">
        <v>2.4415683796995413</v>
      </c>
      <c r="F51" s="155">
        <v>1.8248649867024833</v>
      </c>
      <c r="G51" s="257">
        <v>1.56774625954964</v>
      </c>
      <c r="H51" s="257">
        <v>1.9872476707593627</v>
      </c>
      <c r="I51" s="113"/>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0" ht="15">
      <c r="A52" s="104"/>
      <c r="B52" s="153"/>
      <c r="C52" s="153"/>
      <c r="D52" s="153"/>
      <c r="E52" s="154"/>
      <c r="F52" s="153"/>
      <c r="G52" s="153"/>
      <c r="H52" s="153"/>
      <c r="I52" s="131"/>
      <c r="J52" s="131"/>
    </row>
    <row r="53" spans="1:255" ht="15">
      <c r="A53" s="61" t="str">
        <f>HLOOKUP(INDICE!$F$2,Nombres!$C$3:$D$636,13,FALSE)</f>
        <v>South America</v>
      </c>
      <c r="B53" s="155">
        <v>1.3742464720629206</v>
      </c>
      <c r="C53" s="155">
        <v>1.2776251158940741</v>
      </c>
      <c r="D53" s="155">
        <v>1.446626596478783</v>
      </c>
      <c r="E53" s="156">
        <v>1.443196843256789</v>
      </c>
      <c r="F53" s="155">
        <v>1.93747380131668</v>
      </c>
      <c r="G53" s="257">
        <v>1.8853970471435517</v>
      </c>
      <c r="H53" s="257">
        <v>1.9088297371558753</v>
      </c>
      <c r="I53" s="11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5">
      <c r="A54" s="104"/>
      <c r="B54" s="157"/>
      <c r="C54" s="157"/>
      <c r="D54" s="157"/>
      <c r="E54" s="158"/>
      <c r="F54" s="157"/>
      <c r="G54" s="258"/>
      <c r="H54" s="258"/>
      <c r="I54" s="131"/>
      <c r="J54" s="131"/>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0"/>
      <c r="FU54" s="130"/>
      <c r="FV54" s="130"/>
      <c r="FW54" s="130"/>
      <c r="FX54" s="130"/>
      <c r="FY54" s="130"/>
      <c r="FZ54" s="130"/>
      <c r="GA54" s="130"/>
      <c r="GB54" s="130"/>
      <c r="GC54" s="130"/>
      <c r="GD54" s="130"/>
      <c r="GE54" s="130"/>
      <c r="GF54" s="130"/>
      <c r="GG54" s="130"/>
      <c r="GH54" s="130"/>
      <c r="GI54" s="130"/>
      <c r="GJ54" s="130"/>
      <c r="GK54" s="130"/>
      <c r="GL54" s="130"/>
      <c r="GM54" s="130"/>
      <c r="GN54" s="130"/>
      <c r="GO54" s="130"/>
      <c r="GP54" s="130"/>
      <c r="GQ54" s="130"/>
      <c r="GR54" s="130"/>
      <c r="GS54" s="130"/>
      <c r="GT54" s="130"/>
      <c r="GU54" s="130"/>
      <c r="GV54" s="130"/>
      <c r="GW54" s="130"/>
      <c r="GX54" s="130"/>
      <c r="GY54" s="130"/>
      <c r="GZ54" s="130"/>
      <c r="HA54" s="130"/>
      <c r="HB54" s="130"/>
      <c r="HC54" s="130"/>
      <c r="HD54" s="130"/>
      <c r="HE54" s="130"/>
      <c r="HF54" s="130"/>
      <c r="HG54" s="130"/>
      <c r="HH54" s="130"/>
      <c r="HI54" s="130"/>
      <c r="HJ54" s="130"/>
      <c r="HK54" s="130"/>
      <c r="HL54" s="130"/>
      <c r="HM54" s="130"/>
      <c r="HN54" s="130"/>
      <c r="HO54" s="130"/>
      <c r="HP54" s="130"/>
      <c r="HQ54" s="130"/>
      <c r="HR54" s="130"/>
      <c r="HS54" s="130"/>
      <c r="HT54" s="130"/>
      <c r="HU54" s="130"/>
      <c r="HV54" s="130"/>
      <c r="HW54" s="130"/>
      <c r="HX54" s="130"/>
      <c r="HY54" s="130"/>
      <c r="HZ54" s="130"/>
      <c r="IA54" s="130"/>
      <c r="IB54" s="130"/>
      <c r="IC54" s="130"/>
      <c r="ID54" s="130"/>
      <c r="IE54" s="130"/>
      <c r="IF54" s="130"/>
      <c r="IG54" s="130"/>
      <c r="IH54" s="130"/>
      <c r="II54" s="130"/>
      <c r="IJ54" s="130"/>
      <c r="IK54" s="130"/>
      <c r="IL54" s="130"/>
      <c r="IM54" s="130"/>
      <c r="IN54" s="130"/>
      <c r="IO54" s="130"/>
      <c r="IP54" s="130"/>
      <c r="IQ54" s="130"/>
      <c r="IR54" s="130"/>
      <c r="IS54" s="130"/>
      <c r="IT54" s="130"/>
      <c r="IU54" s="130"/>
    </row>
    <row r="55" spans="1:8" ht="15">
      <c r="A55" s="61" t="str">
        <f>HLOOKUP(INDICE!$F$2,Nombres!$C$3:$D$636,18,FALSE)</f>
        <v>Rest of Eurasia</v>
      </c>
      <c r="B55" s="155">
        <v>-0.3536555184910115</v>
      </c>
      <c r="C55" s="155">
        <v>-0.13870880591345913</v>
      </c>
      <c r="D55" s="155">
        <v>0.12283554210088311</v>
      </c>
      <c r="E55" s="156">
        <v>-0.10575888422006897</v>
      </c>
      <c r="F55" s="155">
        <v>0.23558833918456487</v>
      </c>
      <c r="G55" s="257">
        <v>0.11963495376904648</v>
      </c>
      <c r="H55" s="257">
        <v>0.048645152052657736</v>
      </c>
    </row>
    <row r="56" spans="1:8" ht="15">
      <c r="A56" s="134"/>
      <c r="B56" s="104"/>
      <c r="C56" s="150"/>
      <c r="D56" s="150"/>
      <c r="E56" s="150"/>
      <c r="F56" s="104"/>
      <c r="G56" s="259"/>
      <c r="H56" s="259"/>
    </row>
    <row r="57" spans="1:8" ht="15">
      <c r="A57" s="104"/>
      <c r="B57" s="104"/>
      <c r="C57" s="104"/>
      <c r="D57" s="104"/>
      <c r="E57" s="104"/>
      <c r="F57" s="104"/>
      <c r="G57" s="104"/>
      <c r="H57" s="104"/>
    </row>
    <row r="58" spans="1:8" ht="15">
      <c r="A58" s="104"/>
      <c r="B58" s="104"/>
      <c r="C58" s="104"/>
      <c r="D58" s="104"/>
      <c r="E58" s="104"/>
      <c r="F58" s="104"/>
      <c r="G58" s="104"/>
      <c r="H58" s="104"/>
    </row>
    <row r="59" spans="1:8" ht="15">
      <c r="A59" s="159"/>
      <c r="B59" s="123"/>
      <c r="C59" s="123"/>
      <c r="D59" s="123"/>
      <c r="E59" s="123"/>
      <c r="F59" s="123"/>
      <c r="G59" s="123"/>
      <c r="H59" s="159"/>
    </row>
    <row r="1000" ht="15">
      <c r="A1000" s="160" t="s">
        <v>406</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s>
  <sheetData>
    <row r="1" spans="1:41" ht="18">
      <c r="A1" s="260" t="str">
        <f>HLOOKUP(INDICE!$F$2,Nombres!$C$3:$D$636,123,FALSE)</f>
        <v>Branches</v>
      </c>
      <c r="B1" s="161"/>
      <c r="C1" s="161"/>
      <c r="D1" s="162"/>
      <c r="E1" s="162"/>
      <c r="F1" s="162"/>
      <c r="G1" s="162"/>
      <c r="H1" s="162"/>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63"/>
      <c r="B2" s="106">
        <f>+España!B30</f>
        <v>43190</v>
      </c>
      <c r="C2" s="106">
        <f>+España!C30</f>
        <v>43281</v>
      </c>
      <c r="D2" s="106">
        <f>+España!D30</f>
        <v>43373</v>
      </c>
      <c r="E2" s="106">
        <f>+España!E30</f>
        <v>43465</v>
      </c>
      <c r="F2" s="106">
        <f>+España!F30</f>
        <v>43555</v>
      </c>
      <c r="G2" s="106">
        <f>+España!G30</f>
        <v>43646</v>
      </c>
      <c r="H2" s="106">
        <f>+España!H30</f>
        <v>43738</v>
      </c>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61" t="str">
        <f>HLOOKUP(INDICE!$F$2,Nombres!$C$3:$D$636,7,FALSE)</f>
        <v>Spain</v>
      </c>
      <c r="B3" s="41">
        <v>2929</v>
      </c>
      <c r="C3" s="41">
        <v>2881</v>
      </c>
      <c r="D3" s="41">
        <v>2870</v>
      </c>
      <c r="E3" s="41">
        <v>2840</v>
      </c>
      <c r="F3" s="41">
        <v>2774</v>
      </c>
      <c r="G3" s="41">
        <v>2733</v>
      </c>
      <c r="H3" s="41">
        <v>2696</v>
      </c>
      <c r="I3" s="56"/>
      <c r="J3" s="31"/>
      <c r="K3" s="123"/>
      <c r="L3" s="123"/>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61" t="str">
        <f>HLOOKUP(INDICE!$F$2,Nombres!$C$3:$D$636,10,FALSE)</f>
        <v>USA</v>
      </c>
      <c r="B4" s="41">
        <v>652</v>
      </c>
      <c r="C4" s="41">
        <v>648</v>
      </c>
      <c r="D4" s="41">
        <v>648</v>
      </c>
      <c r="E4" s="41">
        <v>646</v>
      </c>
      <c r="F4" s="41">
        <v>643</v>
      </c>
      <c r="G4" s="41">
        <v>644</v>
      </c>
      <c r="H4" s="41">
        <v>643</v>
      </c>
      <c r="I4" s="56"/>
      <c r="J4" s="31"/>
      <c r="K4" s="123"/>
      <c r="L4" s="123"/>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61" t="str">
        <f>HLOOKUP(INDICE!$F$2,Nombres!$C$3:$D$636,11,FALSE)</f>
        <v>Mexico</v>
      </c>
      <c r="B5" s="41">
        <v>1833</v>
      </c>
      <c r="C5" s="41">
        <v>1836</v>
      </c>
      <c r="D5" s="41">
        <v>1836</v>
      </c>
      <c r="E5" s="41">
        <v>1836</v>
      </c>
      <c r="F5" s="41">
        <v>1794</v>
      </c>
      <c r="G5" s="41">
        <v>1821</v>
      </c>
      <c r="H5" s="41">
        <v>1848</v>
      </c>
      <c r="I5" s="56"/>
      <c r="J5" s="31"/>
      <c r="K5" s="123"/>
      <c r="L5" s="123"/>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61" t="str">
        <f>HLOOKUP(INDICE!$F$2,Nombres!$C$3:$D$636,12,FALSE)</f>
        <v>Turkey </v>
      </c>
      <c r="B6" s="41">
        <v>1082</v>
      </c>
      <c r="C6" s="41">
        <v>1072</v>
      </c>
      <c r="D6" s="41">
        <v>1069</v>
      </c>
      <c r="E6" s="41">
        <v>1066</v>
      </c>
      <c r="F6" s="41">
        <v>1060</v>
      </c>
      <c r="G6" s="41">
        <v>1051</v>
      </c>
      <c r="H6" s="41">
        <v>1044</v>
      </c>
      <c r="I6" s="56"/>
      <c r="J6" s="31"/>
      <c r="K6" s="123"/>
      <c r="L6" s="123"/>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61" t="str">
        <f>HLOOKUP(INDICE!$F$2,Nombres!$C$3:$D$636,13,FALSE)</f>
        <v>South America</v>
      </c>
      <c r="B7" s="41">
        <v>1669</v>
      </c>
      <c r="C7" s="41">
        <v>1669</v>
      </c>
      <c r="D7" s="41">
        <v>1541</v>
      </c>
      <c r="E7" s="41">
        <v>1543</v>
      </c>
      <c r="F7" s="41">
        <v>1541</v>
      </c>
      <c r="G7" s="41">
        <v>1542</v>
      </c>
      <c r="H7" s="41">
        <v>1535</v>
      </c>
      <c r="I7" s="56"/>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64" t="str">
        <f>HLOOKUP(INDICE!$F$2,Nombres!$C$3:$D$636,14,FALSE)</f>
        <v>Argentina</v>
      </c>
      <c r="B8" s="262">
        <v>251</v>
      </c>
      <c r="C8" s="262">
        <v>252</v>
      </c>
      <c r="D8" s="262">
        <v>251</v>
      </c>
      <c r="E8" s="262">
        <v>253</v>
      </c>
      <c r="F8" s="262">
        <v>253</v>
      </c>
      <c r="G8" s="262">
        <v>253</v>
      </c>
      <c r="H8" s="262">
        <v>252</v>
      </c>
      <c r="I8" s="56"/>
      <c r="J8" s="31"/>
      <c r="K8" s="123"/>
      <c r="L8" s="123"/>
      <c r="M8" s="279"/>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263" t="str">
        <f>HLOOKUP(INDICE!$F$2,Nombres!$C$3:$D$636,15,FALSE)</f>
        <v>Chile</v>
      </c>
      <c r="B9" s="44">
        <v>136</v>
      </c>
      <c r="C9" s="44">
        <v>135</v>
      </c>
      <c r="D9" s="44">
        <v>13</v>
      </c>
      <c r="E9" s="44">
        <v>13</v>
      </c>
      <c r="F9" s="44">
        <v>14</v>
      </c>
      <c r="G9" s="44">
        <v>14</v>
      </c>
      <c r="H9" s="44">
        <v>18</v>
      </c>
      <c r="I9" s="56"/>
      <c r="J9" s="31"/>
      <c r="K9" s="123"/>
      <c r="L9" s="123"/>
      <c r="M9" s="279"/>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63" t="str">
        <f>HLOOKUP(INDICE!$F$2,Nombres!$C$3:$D$636,16,FALSE)</f>
        <v>Colombia</v>
      </c>
      <c r="B10" s="44">
        <v>555</v>
      </c>
      <c r="C10" s="44">
        <v>559</v>
      </c>
      <c r="D10" s="44">
        <v>558</v>
      </c>
      <c r="E10" s="44">
        <v>558</v>
      </c>
      <c r="F10" s="44">
        <v>557</v>
      </c>
      <c r="G10" s="44">
        <v>557</v>
      </c>
      <c r="H10" s="44">
        <v>548</v>
      </c>
      <c r="I10" s="56"/>
      <c r="J10" s="123"/>
      <c r="K10" s="123"/>
      <c r="L10" s="123"/>
      <c r="M10" s="279"/>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63" t="str">
        <f>HLOOKUP(INDICE!$F$2,Nombres!$C$3:$D$636,17,FALSE)</f>
        <v>Peru</v>
      </c>
      <c r="B11" s="44">
        <v>332</v>
      </c>
      <c r="C11" s="44">
        <v>332</v>
      </c>
      <c r="D11" s="44">
        <v>332</v>
      </c>
      <c r="E11" s="44">
        <v>332</v>
      </c>
      <c r="F11" s="44">
        <v>332</v>
      </c>
      <c r="G11" s="44">
        <v>333</v>
      </c>
      <c r="H11" s="44">
        <v>333</v>
      </c>
      <c r="I11" s="56"/>
      <c r="J11" s="123"/>
      <c r="K11" s="123"/>
      <c r="L11" s="123"/>
      <c r="M11" s="279"/>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63" t="str">
        <f>HLOOKUP(INDICE!$F$2,Nombres!$C$3:$D$636,89,FALSE)</f>
        <v>Resto of South América</v>
      </c>
      <c r="B12" s="44">
        <v>395</v>
      </c>
      <c r="C12" s="44">
        <v>391</v>
      </c>
      <c r="D12" s="44">
        <v>387</v>
      </c>
      <c r="E12" s="44">
        <v>387</v>
      </c>
      <c r="F12" s="44">
        <v>385</v>
      </c>
      <c r="G12" s="44">
        <v>385</v>
      </c>
      <c r="H12" s="44">
        <v>384</v>
      </c>
      <c r="I12" s="56"/>
      <c r="J12" s="123"/>
      <c r="K12" s="123"/>
      <c r="L12" s="123"/>
      <c r="M12" s="279"/>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61" t="str">
        <f>HLOOKUP(INDICE!$F$2,Nombres!$C$3:$D$636,18,FALSE)</f>
        <v>Rest of Eurasia</v>
      </c>
      <c r="B13" s="41">
        <v>35</v>
      </c>
      <c r="C13" s="41">
        <v>35</v>
      </c>
      <c r="D13" s="41">
        <v>35</v>
      </c>
      <c r="E13" s="41">
        <v>32</v>
      </c>
      <c r="F13" s="41">
        <v>32</v>
      </c>
      <c r="G13" s="41">
        <v>32</v>
      </c>
      <c r="H13" s="41">
        <v>32</v>
      </c>
      <c r="I13" s="56"/>
      <c r="J13" s="123"/>
      <c r="K13" s="123"/>
      <c r="L13" s="123"/>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61" t="s">
        <v>6</v>
      </c>
      <c r="B14" s="41">
        <f aca="true" t="shared" si="0" ref="B14:H14">+SUM(B3:B6,B8:B13)</f>
        <v>8200</v>
      </c>
      <c r="C14" s="41">
        <f t="shared" si="0"/>
        <v>8141</v>
      </c>
      <c r="D14" s="41">
        <f t="shared" si="0"/>
        <v>7999</v>
      </c>
      <c r="E14" s="41">
        <f t="shared" si="0"/>
        <v>7963</v>
      </c>
      <c r="F14" s="41">
        <f t="shared" si="0"/>
        <v>7844</v>
      </c>
      <c r="G14" s="41">
        <f t="shared" si="0"/>
        <v>7823</v>
      </c>
      <c r="H14" s="41">
        <f t="shared" si="0"/>
        <v>7798</v>
      </c>
      <c r="I14" s="56"/>
      <c r="J14" s="123"/>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65"/>
      <c r="B15" s="166">
        <v>0</v>
      </c>
      <c r="C15" s="166">
        <v>0</v>
      </c>
      <c r="D15" s="166">
        <v>0</v>
      </c>
      <c r="E15" s="166">
        <v>0</v>
      </c>
      <c r="F15" s="166">
        <v>0</v>
      </c>
      <c r="G15" s="166">
        <v>0</v>
      </c>
      <c r="H15" s="166">
        <v>0</v>
      </c>
      <c r="I15" s="31"/>
      <c r="J15" s="123"/>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65"/>
      <c r="B16" s="166"/>
      <c r="C16" s="166"/>
      <c r="D16" s="166"/>
      <c r="E16" s="166"/>
      <c r="F16" s="166"/>
      <c r="G16" s="166"/>
      <c r="H16" s="166"/>
      <c r="I16" s="31"/>
      <c r="J16" s="123"/>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60" t="str">
        <f>HLOOKUP(INDICE!$F$2,Nombres!$C$3:$D$636,124,FALSE)</f>
        <v>Employees</v>
      </c>
      <c r="B17" s="161"/>
      <c r="C17" s="161"/>
      <c r="D17" s="162"/>
      <c r="E17" s="162"/>
      <c r="F17" s="162"/>
      <c r="G17" s="162"/>
      <c r="H17" s="162"/>
      <c r="I17" s="167"/>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63"/>
      <c r="B18" s="106">
        <f aca="true" t="shared" si="1" ref="B18:H18">+B$2</f>
        <v>43190</v>
      </c>
      <c r="C18" s="106">
        <f t="shared" si="1"/>
        <v>43281</v>
      </c>
      <c r="D18" s="106">
        <f t="shared" si="1"/>
        <v>43373</v>
      </c>
      <c r="E18" s="106">
        <f t="shared" si="1"/>
        <v>43465</v>
      </c>
      <c r="F18" s="106">
        <f t="shared" si="1"/>
        <v>43555</v>
      </c>
      <c r="G18" s="106">
        <f t="shared" si="1"/>
        <v>43646</v>
      </c>
      <c r="H18" s="106">
        <f t="shared" si="1"/>
        <v>43738</v>
      </c>
      <c r="I18" s="167"/>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61" t="str">
        <f>HLOOKUP(INDICE!$F$2,Nombres!$C$3:$D$636,7,FALSE)</f>
        <v>Spain</v>
      </c>
      <c r="B19" s="41">
        <v>30622</v>
      </c>
      <c r="C19" s="41">
        <v>30531</v>
      </c>
      <c r="D19" s="41">
        <v>30337</v>
      </c>
      <c r="E19" s="41">
        <v>30338</v>
      </c>
      <c r="F19" s="41">
        <v>30292</v>
      </c>
      <c r="G19" s="41">
        <v>30275</v>
      </c>
      <c r="H19" s="41">
        <v>30233</v>
      </c>
      <c r="I19" s="123"/>
      <c r="J19" s="41"/>
      <c r="K19" s="31"/>
      <c r="L19" s="56"/>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61" t="str">
        <f>HLOOKUP(INDICE!$F$2,Nombres!$C$3:$D$636,10,FALSE)</f>
        <v>USA</v>
      </c>
      <c r="B20" s="41">
        <v>10977</v>
      </c>
      <c r="C20" s="41">
        <v>10908</v>
      </c>
      <c r="D20" s="41">
        <v>11005</v>
      </c>
      <c r="E20" s="41">
        <v>10984</v>
      </c>
      <c r="F20" s="41">
        <v>10933</v>
      </c>
      <c r="G20" s="41">
        <v>10866</v>
      </c>
      <c r="H20" s="41">
        <v>10771</v>
      </c>
      <c r="I20" s="123"/>
      <c r="J20" s="41"/>
      <c r="K20" s="31"/>
      <c r="L20" s="56"/>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61" t="str">
        <f>HLOOKUP(INDICE!$F$2,Nombres!$C$3:$D$636,11,FALSE)</f>
        <v>Mexico</v>
      </c>
      <c r="B21" s="41">
        <v>37439</v>
      </c>
      <c r="C21" s="41">
        <v>37863</v>
      </c>
      <c r="D21" s="41">
        <v>36281</v>
      </c>
      <c r="E21" s="41">
        <v>36123</v>
      </c>
      <c r="F21" s="41">
        <v>36701</v>
      </c>
      <c r="G21" s="41">
        <v>37335</v>
      </c>
      <c r="H21" s="41">
        <v>37613</v>
      </c>
      <c r="I21" s="123"/>
      <c r="J21" s="41"/>
      <c r="K21" s="31"/>
      <c r="L21" s="56"/>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61" t="str">
        <f>HLOOKUP(INDICE!$F$2,Nombres!$C$3:$D$636,12,FALSE)</f>
        <v>Turkey </v>
      </c>
      <c r="B22" s="41">
        <v>22400</v>
      </c>
      <c r="C22" s="41">
        <v>22286</v>
      </c>
      <c r="D22" s="41">
        <v>22367</v>
      </c>
      <c r="E22" s="41">
        <v>21994</v>
      </c>
      <c r="F22" s="41">
        <v>21884</v>
      </c>
      <c r="G22" s="41">
        <v>21950</v>
      </c>
      <c r="H22" s="41">
        <v>22118</v>
      </c>
      <c r="I22" s="123"/>
      <c r="J22" s="41"/>
      <c r="K22" s="31"/>
      <c r="L22" s="56"/>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61" t="str">
        <f>HLOOKUP(INDICE!$F$2,Nombres!$C$3:$D$636,13,FALSE)</f>
        <v>South America</v>
      </c>
      <c r="B23" s="41">
        <v>29183</v>
      </c>
      <c r="C23" s="41">
        <v>29076</v>
      </c>
      <c r="D23" s="41">
        <v>25230</v>
      </c>
      <c r="E23" s="41">
        <v>25050</v>
      </c>
      <c r="F23" s="41">
        <v>24773</v>
      </c>
      <c r="G23" s="41">
        <v>24432</v>
      </c>
      <c r="H23" s="41">
        <v>24456</v>
      </c>
      <c r="I23" s="56"/>
      <c r="J23" s="44"/>
      <c r="K23" s="31"/>
      <c r="L23" s="56"/>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64" t="str">
        <f>HLOOKUP(INDICE!$F$2,Nombres!$C$3:$D$636,14,FALSE)</f>
        <v>Argentina</v>
      </c>
      <c r="B24" s="44">
        <v>6244</v>
      </c>
      <c r="C24" s="44">
        <v>6253</v>
      </c>
      <c r="D24" s="44">
        <v>6250</v>
      </c>
      <c r="E24" s="44">
        <v>6262</v>
      </c>
      <c r="F24" s="44">
        <v>6313</v>
      </c>
      <c r="G24" s="44">
        <v>6402</v>
      </c>
      <c r="H24" s="44">
        <v>6398</v>
      </c>
      <c r="I24" s="56"/>
      <c r="J24" s="44"/>
      <c r="K24" s="123"/>
      <c r="L24" s="56"/>
      <c r="M24" s="280"/>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263" t="str">
        <f>HLOOKUP(INDICE!$F$2,Nombres!$C$3:$D$636,15,FALSE)</f>
        <v>Chile</v>
      </c>
      <c r="B25" s="44">
        <v>4855</v>
      </c>
      <c r="C25" s="44">
        <v>4812</v>
      </c>
      <c r="D25" s="44">
        <v>917</v>
      </c>
      <c r="E25" s="44">
        <v>923</v>
      </c>
      <c r="F25" s="44">
        <v>933</v>
      </c>
      <c r="G25" s="44">
        <v>947</v>
      </c>
      <c r="H25" s="44">
        <v>962</v>
      </c>
      <c r="I25" s="56"/>
      <c r="J25" s="44"/>
      <c r="K25" s="123"/>
      <c r="L25" s="56"/>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63" t="str">
        <f>HLOOKUP(INDICE!$F$2,Nombres!$C$3:$D$636,16,FALSE)</f>
        <v>Colombia</v>
      </c>
      <c r="B26" s="44">
        <v>6744</v>
      </c>
      <c r="C26" s="44">
        <v>6747</v>
      </c>
      <c r="D26" s="44">
        <v>6765</v>
      </c>
      <c r="E26" s="44">
        <v>6803</v>
      </c>
      <c r="F26" s="44">
        <v>6769</v>
      </c>
      <c r="G26" s="44">
        <v>6778</v>
      </c>
      <c r="H26" s="44">
        <v>6847</v>
      </c>
      <c r="I26" s="56"/>
      <c r="J26" s="44"/>
      <c r="K26" s="123"/>
      <c r="L26" s="56"/>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63" t="str">
        <f>HLOOKUP(INDICE!$F$2,Nombres!$C$3:$D$636,17,FALSE)</f>
        <v>Peru</v>
      </c>
      <c r="B27" s="44">
        <v>6063</v>
      </c>
      <c r="C27" s="44">
        <v>6199</v>
      </c>
      <c r="D27" s="44">
        <v>6360</v>
      </c>
      <c r="E27" s="44">
        <v>6267</v>
      </c>
      <c r="F27" s="44">
        <v>6142</v>
      </c>
      <c r="G27" s="44">
        <v>6216</v>
      </c>
      <c r="H27" s="44">
        <v>6269</v>
      </c>
      <c r="I27" s="56"/>
      <c r="J27" s="44"/>
      <c r="K27" s="123"/>
      <c r="L27" s="56"/>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63" t="str">
        <f>HLOOKUP(INDICE!$F$2,Nombres!$C$3:$D$636,89,FALSE)</f>
        <v>Resto of South América</v>
      </c>
      <c r="B28" s="44">
        <v>5277</v>
      </c>
      <c r="C28" s="44">
        <v>5065</v>
      </c>
      <c r="D28" s="44">
        <v>4938</v>
      </c>
      <c r="E28" s="44">
        <v>4795</v>
      </c>
      <c r="F28" s="44">
        <v>4616</v>
      </c>
      <c r="G28" s="44">
        <v>4089</v>
      </c>
      <c r="H28" s="44">
        <v>3980</v>
      </c>
      <c r="I28" s="56"/>
      <c r="J28" s="44"/>
      <c r="K28" s="123"/>
      <c r="L28" s="56"/>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61" t="str">
        <f>HLOOKUP(INDICE!$F$2,Nombres!$C$3:$D$636,18,FALSE)</f>
        <v>Rest of Eurasia</v>
      </c>
      <c r="B29" s="41">
        <v>1124</v>
      </c>
      <c r="C29" s="41">
        <v>1120</v>
      </c>
      <c r="D29" s="41">
        <v>1137</v>
      </c>
      <c r="E29" s="41">
        <v>1138</v>
      </c>
      <c r="F29" s="41">
        <v>1166</v>
      </c>
      <c r="G29" s="41">
        <v>1159</v>
      </c>
      <c r="H29" s="41">
        <v>1141</v>
      </c>
      <c r="I29" s="123"/>
      <c r="J29" s="44"/>
      <c r="K29" s="31"/>
      <c r="L29" s="56"/>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61" t="s">
        <v>6</v>
      </c>
      <c r="B30" s="41">
        <f aca="true" t="shared" si="2" ref="B30:H30">+SUM(B19:B22,B24:B29)</f>
        <v>131745</v>
      </c>
      <c r="C30" s="41">
        <f t="shared" si="2"/>
        <v>131784</v>
      </c>
      <c r="D30" s="41">
        <f t="shared" si="2"/>
        <v>126357</v>
      </c>
      <c r="E30" s="41">
        <f t="shared" si="2"/>
        <v>125627</v>
      </c>
      <c r="F30" s="41">
        <f t="shared" si="2"/>
        <v>125749</v>
      </c>
      <c r="G30" s="41">
        <f t="shared" si="2"/>
        <v>126017</v>
      </c>
      <c r="H30" s="41">
        <f t="shared" si="2"/>
        <v>126332</v>
      </c>
      <c r="I30" s="56"/>
      <c r="J30" s="31"/>
      <c r="K30" s="31"/>
      <c r="L30" s="56"/>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65"/>
      <c r="B31" s="166">
        <v>0</v>
      </c>
      <c r="C31" s="166">
        <v>0</v>
      </c>
      <c r="D31" s="166">
        <v>0</v>
      </c>
      <c r="E31" s="166">
        <v>0</v>
      </c>
      <c r="F31" s="166">
        <v>0</v>
      </c>
      <c r="G31" s="166">
        <v>0</v>
      </c>
      <c r="H31" s="166">
        <v>0</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65"/>
      <c r="B32" s="166"/>
      <c r="C32" s="166"/>
      <c r="D32" s="166"/>
      <c r="E32" s="166"/>
      <c r="F32" s="166"/>
      <c r="G32" s="166"/>
      <c r="H32" s="166"/>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60" t="str">
        <f>HLOOKUP(INDICE!$F$2,Nombres!$C$3:$D$636,125,FALSE)</f>
        <v>ATM´s</v>
      </c>
      <c r="B33" s="161"/>
      <c r="C33" s="161"/>
      <c r="D33" s="162"/>
      <c r="E33" s="162"/>
      <c r="F33" s="162"/>
      <c r="G33" s="162"/>
      <c r="H33" s="162"/>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50"/>
      <c r="B34" s="106">
        <f aca="true" t="shared" si="3" ref="B34:H34">+B$2</f>
        <v>43190</v>
      </c>
      <c r="C34" s="106">
        <f t="shared" si="3"/>
        <v>43281</v>
      </c>
      <c r="D34" s="106">
        <f t="shared" si="3"/>
        <v>43373</v>
      </c>
      <c r="E34" s="106">
        <f t="shared" si="3"/>
        <v>43465</v>
      </c>
      <c r="F34" s="106">
        <f t="shared" si="3"/>
        <v>43555</v>
      </c>
      <c r="G34" s="106">
        <f t="shared" si="3"/>
        <v>43646</v>
      </c>
      <c r="H34" s="106">
        <f t="shared" si="3"/>
        <v>43738</v>
      </c>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61" t="str">
        <f>HLOOKUP(INDICE!$F$2,Nombres!$C$3:$D$636,7,FALSE)</f>
        <v>Spain</v>
      </c>
      <c r="B35" s="41">
        <v>6321</v>
      </c>
      <c r="C35" s="41">
        <v>6264</v>
      </c>
      <c r="D35" s="41">
        <v>6258</v>
      </c>
      <c r="E35" s="41">
        <v>6195</v>
      </c>
      <c r="F35" s="41">
        <v>6095</v>
      </c>
      <c r="G35" s="41">
        <v>6025</v>
      </c>
      <c r="H35" s="41">
        <v>5978</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61" t="str">
        <f>HLOOKUP(INDICE!$F$2,Nombres!$C$3:$D$636,245,FALSE)</f>
        <v>USA (*)</v>
      </c>
      <c r="B36" s="41">
        <v>1422</v>
      </c>
      <c r="C36" s="41">
        <v>1393</v>
      </c>
      <c r="D36" s="41">
        <v>1407</v>
      </c>
      <c r="E36" s="41">
        <v>1406</v>
      </c>
      <c r="F36" s="41">
        <v>1403</v>
      </c>
      <c r="G36" s="41">
        <v>1393</v>
      </c>
      <c r="H36" s="41">
        <v>1391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61" t="str">
        <f>HLOOKUP(INDICE!$F$2,Nombres!$C$3:$D$636,246,FALSE)</f>
        <v>Mexico (**)</v>
      </c>
      <c r="B37" s="41">
        <v>11798</v>
      </c>
      <c r="C37" s="41">
        <v>11924</v>
      </c>
      <c r="D37" s="41">
        <v>12130</v>
      </c>
      <c r="E37" s="41">
        <v>12610</v>
      </c>
      <c r="F37" s="41">
        <v>12572</v>
      </c>
      <c r="G37" s="41">
        <v>12811</v>
      </c>
      <c r="H37" s="41">
        <v>13005</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61" t="str">
        <f>HLOOKUP(INDICE!$F$2,Nombres!$C$3:$D$636,12,FALSE)</f>
        <v>Turkey </v>
      </c>
      <c r="B38" s="41">
        <v>5217</v>
      </c>
      <c r="C38" s="41">
        <v>5269</v>
      </c>
      <c r="D38" s="41">
        <v>5335</v>
      </c>
      <c r="E38" s="41">
        <v>5476</v>
      </c>
      <c r="F38" s="41">
        <v>5420</v>
      </c>
      <c r="G38" s="41">
        <v>5422</v>
      </c>
      <c r="H38" s="41">
        <v>5454</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61" t="str">
        <f>HLOOKUP(INDICE!$F$2,Nombres!$C$3:$D$636,13,FALSE)</f>
        <v>South America</v>
      </c>
      <c r="B39" s="41">
        <v>7374</v>
      </c>
      <c r="C39" s="41">
        <v>7246</v>
      </c>
      <c r="D39" s="41">
        <v>6845</v>
      </c>
      <c r="E39" s="41">
        <v>6924</v>
      </c>
      <c r="F39" s="41">
        <v>6946</v>
      </c>
      <c r="G39" s="41">
        <v>6946</v>
      </c>
      <c r="H39" s="41">
        <v>6979</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64" t="str">
        <f>HLOOKUP(INDICE!$F$2,Nombres!$C$3:$D$636,14,FALSE)</f>
        <v>Argentina</v>
      </c>
      <c r="B40" s="44">
        <v>1564</v>
      </c>
      <c r="C40" s="44">
        <v>1577</v>
      </c>
      <c r="D40" s="44">
        <v>1617</v>
      </c>
      <c r="E40" s="44">
        <v>1669</v>
      </c>
      <c r="F40" s="44">
        <v>1694</v>
      </c>
      <c r="G40" s="44">
        <v>1694</v>
      </c>
      <c r="H40" s="44">
        <v>1720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263" t="str">
        <f>HLOOKUP(INDICE!$F$2,Nombres!$C$3:$D$636,15,FALSE)</f>
        <v>Chile</v>
      </c>
      <c r="B41" s="44">
        <v>431</v>
      </c>
      <c r="C41" s="44">
        <v>431</v>
      </c>
      <c r="D41" s="44">
        <v>0</v>
      </c>
      <c r="E41" s="44">
        <v>0</v>
      </c>
      <c r="F41" s="44">
        <v>0</v>
      </c>
      <c r="G41" s="44">
        <v>0</v>
      </c>
      <c r="H41" s="44">
        <v>0</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63" t="str">
        <f>HLOOKUP(INDICE!$F$2,Nombres!$C$3:$D$636,16,FALSE)</f>
        <v>Colombia</v>
      </c>
      <c r="B42" s="44">
        <v>1339</v>
      </c>
      <c r="C42" s="44">
        <v>1335</v>
      </c>
      <c r="D42" s="44">
        <v>1343</v>
      </c>
      <c r="E42" s="44">
        <v>1346</v>
      </c>
      <c r="F42" s="44">
        <v>1350</v>
      </c>
      <c r="G42" s="44">
        <v>1357</v>
      </c>
      <c r="H42" s="44">
        <v>1359</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63" t="str">
        <f>HLOOKUP(INDICE!$F$2,Nombres!$C$3:$D$636,17,FALSE)</f>
        <v>Peru</v>
      </c>
      <c r="B43" s="44">
        <v>1965</v>
      </c>
      <c r="C43" s="44">
        <v>1949</v>
      </c>
      <c r="D43" s="44">
        <v>1945</v>
      </c>
      <c r="E43" s="44">
        <v>1970</v>
      </c>
      <c r="F43" s="44">
        <v>1975</v>
      </c>
      <c r="G43" s="44">
        <v>1969</v>
      </c>
      <c r="H43" s="44">
        <v>1974</v>
      </c>
      <c r="I43" s="31"/>
      <c r="J43" s="31"/>
      <c r="K43" s="167"/>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63" t="str">
        <f>HLOOKUP(INDICE!$F$2,Nombres!$C$3:$D$636,89,FALSE)</f>
        <v>Resto of South América</v>
      </c>
      <c r="B44" s="44">
        <v>2075</v>
      </c>
      <c r="C44" s="44">
        <v>1954</v>
      </c>
      <c r="D44" s="44">
        <v>1940</v>
      </c>
      <c r="E44" s="44">
        <v>1939</v>
      </c>
      <c r="F44" s="44">
        <v>1927</v>
      </c>
      <c r="G44" s="44">
        <v>1926</v>
      </c>
      <c r="H44" s="44">
        <v>1926</v>
      </c>
      <c r="I44" s="31"/>
      <c r="J44" s="31"/>
      <c r="K44" s="167"/>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61" t="str">
        <f>HLOOKUP(INDICE!$F$2,Nombres!$C$3:$D$636,18,FALSE)</f>
        <v>Rest of Eurasia</v>
      </c>
      <c r="B45" s="41">
        <v>25</v>
      </c>
      <c r="C45" s="41">
        <v>25</v>
      </c>
      <c r="D45" s="41">
        <v>24</v>
      </c>
      <c r="E45" s="41">
        <v>24</v>
      </c>
      <c r="F45" s="41">
        <v>24</v>
      </c>
      <c r="G45" s="41">
        <v>24</v>
      </c>
      <c r="H45" s="41">
        <v>23</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61" t="s">
        <v>6</v>
      </c>
      <c r="B46" s="41">
        <f aca="true" t="shared" si="4" ref="B46:H46">+SUM(B35:B38,B40:B45)</f>
        <v>32157</v>
      </c>
      <c r="C46" s="41">
        <f t="shared" si="4"/>
        <v>32121</v>
      </c>
      <c r="D46" s="41">
        <f t="shared" si="4"/>
        <v>31999</v>
      </c>
      <c r="E46" s="41">
        <f t="shared" si="4"/>
        <v>32635</v>
      </c>
      <c r="F46" s="41">
        <f t="shared" si="4"/>
        <v>32460</v>
      </c>
      <c r="G46" s="41">
        <f t="shared" si="4"/>
        <v>32621</v>
      </c>
      <c r="H46" s="41">
        <f t="shared" si="4"/>
        <v>32830</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104"/>
      <c r="B47" s="166">
        <v>0</v>
      </c>
      <c r="C47" s="166">
        <v>0</v>
      </c>
      <c r="D47" s="166">
        <v>0</v>
      </c>
      <c r="E47" s="166">
        <v>0</v>
      </c>
      <c r="F47" s="166">
        <v>0</v>
      </c>
      <c r="G47" s="166">
        <v>0</v>
      </c>
      <c r="H47" s="166">
        <v>0</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64" t="str">
        <f>HLOOKUP(INDICE!$F$2,Nombres!$C$3:$D$636,243,FALSE)</f>
        <v>(*) Reviewed data serie 18-19 due to a change in the amount criteria of ATMs</v>
      </c>
      <c r="B48" s="104"/>
      <c r="C48" s="104"/>
      <c r="D48" s="104"/>
      <c r="E48" s="104"/>
      <c r="F48" s="104"/>
      <c r="G48" s="104"/>
      <c r="H48" s="104"/>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64" t="str">
        <f>HLOOKUP(INDICE!$F$2,Nombres!$C$3:$D$636,244,FALSE)</f>
        <v>(**) Readjustment of 1Q19 in 2Q19</v>
      </c>
      <c r="B49" s="104"/>
      <c r="C49" s="104"/>
      <c r="D49" s="104"/>
      <c r="E49" s="104"/>
      <c r="F49" s="104"/>
      <c r="G49" s="104"/>
      <c r="H49" s="104"/>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104"/>
      <c r="B50" s="104"/>
      <c r="C50" s="104"/>
      <c r="D50" s="104"/>
      <c r="E50" s="104"/>
      <c r="F50" s="104"/>
      <c r="G50" s="104"/>
      <c r="H50" s="104"/>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104"/>
      <c r="B51" s="104"/>
      <c r="C51" s="104"/>
      <c r="D51" s="104"/>
      <c r="E51" s="104"/>
      <c r="F51" s="104"/>
      <c r="G51" s="104"/>
      <c r="H51" s="104"/>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104"/>
      <c r="B52" s="104"/>
      <c r="C52" s="104"/>
      <c r="D52" s="104"/>
      <c r="E52" s="104"/>
      <c r="F52" s="104"/>
      <c r="G52" s="104"/>
      <c r="H52" s="104"/>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104"/>
      <c r="B53" s="104"/>
      <c r="C53" s="104"/>
      <c r="D53" s="104"/>
      <c r="E53" s="104"/>
      <c r="F53" s="104"/>
      <c r="G53" s="104"/>
      <c r="H53" s="104"/>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104"/>
      <c r="B54" s="104"/>
      <c r="C54" s="104"/>
      <c r="D54" s="104"/>
      <c r="E54" s="104"/>
      <c r="F54" s="104"/>
      <c r="G54" s="104"/>
      <c r="H54" s="104"/>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104"/>
      <c r="B55" s="104"/>
      <c r="C55" s="104"/>
      <c r="D55" s="104"/>
      <c r="E55" s="104"/>
      <c r="F55" s="104"/>
      <c r="G55" s="104"/>
      <c r="H55" s="104"/>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104"/>
      <c r="B56" s="104"/>
      <c r="C56" s="104"/>
      <c r="D56" s="104"/>
      <c r="E56" s="104"/>
      <c r="F56" s="104"/>
      <c r="G56" s="104"/>
      <c r="H56" s="104"/>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104"/>
      <c r="B57" s="104"/>
      <c r="C57" s="104"/>
      <c r="D57" s="104"/>
      <c r="E57" s="104"/>
      <c r="F57" s="104"/>
      <c r="G57" s="104"/>
      <c r="H57" s="104"/>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104"/>
      <c r="B58" s="104"/>
      <c r="C58" s="104"/>
      <c r="D58" s="104"/>
      <c r="E58" s="104"/>
      <c r="F58" s="104"/>
      <c r="G58" s="104"/>
      <c r="H58" s="10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104"/>
      <c r="B59" s="104"/>
      <c r="C59" s="104"/>
      <c r="D59" s="104"/>
      <c r="E59" s="104"/>
      <c r="F59" s="104"/>
      <c r="G59" s="104"/>
      <c r="H59" s="104"/>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104"/>
      <c r="B60" s="104"/>
      <c r="C60" s="104"/>
      <c r="D60" s="104"/>
      <c r="E60" s="104"/>
      <c r="F60" s="104"/>
      <c r="G60" s="104"/>
      <c r="H60" s="104"/>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406</v>
      </c>
    </row>
  </sheetData>
  <sheetProtection/>
  <conditionalFormatting sqref="B15:B16">
    <cfRule type="cellIs" priority="6" dxfId="16" operator="notEqual">
      <formula>0</formula>
    </cfRule>
  </conditionalFormatting>
  <conditionalFormatting sqref="C15:C16">
    <cfRule type="cellIs" priority="5" dxfId="16" operator="notEqual">
      <formula>0</formula>
    </cfRule>
  </conditionalFormatting>
  <conditionalFormatting sqref="D15:D16">
    <cfRule type="cellIs" priority="4" dxfId="16" operator="notEqual">
      <formula>0</formula>
    </cfRule>
  </conditionalFormatting>
  <conditionalFormatting sqref="E15:H16">
    <cfRule type="cellIs" priority="3" dxfId="16" operator="notEqual">
      <formula>0</formula>
    </cfRule>
  </conditionalFormatting>
  <conditionalFormatting sqref="B31:H32">
    <cfRule type="cellIs" priority="2" dxfId="16" operator="notEqual">
      <formula>0</formula>
    </cfRule>
  </conditionalFormatting>
  <conditionalFormatting sqref="B47:H47">
    <cfRule type="cellIs" priority="1" dxfId="16"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6" sqref="A6"/>
    </sheetView>
  </sheetViews>
  <sheetFormatPr defaultColWidth="11.421875" defaultRowHeight="15"/>
  <cols>
    <col min="1" max="1" width="62.00390625" style="31" customWidth="1"/>
    <col min="2" max="4" width="11.421875" style="31" customWidth="1"/>
    <col min="5" max="5" width="10.421875" style="31" customWidth="1"/>
    <col min="6" max="6" width="11.421875" style="31" customWidth="1"/>
    <col min="7" max="7" width="11.8515625" style="31" bestFit="1" customWidth="1"/>
    <col min="8" max="8" width="11.57421875" style="31" bestFit="1" customWidth="1"/>
    <col min="9" max="16384" width="11.421875" style="31" customWidth="1"/>
  </cols>
  <sheetData>
    <row r="1" spans="1:8" ht="18">
      <c r="A1" s="29" t="str">
        <f>HLOOKUP(INDICE!$F$2,Nombres!$C$3:$D$636,91,FALSE)</f>
        <v>BBVA Group. Consolidated Income statement </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0">
        <v>2019</v>
      </c>
      <c r="G6" s="291"/>
      <c r="H6" s="291"/>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4287.422153</v>
      </c>
      <c r="C8" s="41">
        <v>4302.38155715</v>
      </c>
      <c r="D8" s="41">
        <v>4309.4902948399995</v>
      </c>
      <c r="E8" s="42">
        <v>4691.88200004</v>
      </c>
      <c r="F8" s="41">
        <v>4420.427999990001</v>
      </c>
      <c r="G8" s="52">
        <v>4566.3269999799995</v>
      </c>
      <c r="H8" s="52">
        <v>4488.12799996</v>
      </c>
    </row>
    <row r="9" spans="1:8" ht="15">
      <c r="A9" s="43" t="str">
        <f>HLOOKUP(INDICE!$F$2,Nombres!$C$3:$D$636,34,FALSE)</f>
        <v>Net fees and commissions</v>
      </c>
      <c r="B9" s="44">
        <v>1236.26700248</v>
      </c>
      <c r="C9" s="44">
        <v>1243.7485599000001</v>
      </c>
      <c r="D9" s="44">
        <v>1173.33043761</v>
      </c>
      <c r="E9" s="45">
        <v>1225.76500002</v>
      </c>
      <c r="F9" s="44">
        <v>1213.99800003</v>
      </c>
      <c r="G9" s="44">
        <v>1255.8010000200002</v>
      </c>
      <c r="H9" s="44">
        <v>1272.97800094</v>
      </c>
    </row>
    <row r="10" spans="1:8" ht="15">
      <c r="A10" s="43" t="str">
        <f>HLOOKUP(INDICE!$F$2,Nombres!$C$3:$D$636,35,FALSE)</f>
        <v>Net trading income</v>
      </c>
      <c r="B10" s="44">
        <v>410.11677274000004</v>
      </c>
      <c r="C10" s="44">
        <v>285.45319947999997</v>
      </c>
      <c r="D10" s="44">
        <v>211.75902775</v>
      </c>
      <c r="E10" s="45">
        <v>315.84200000000016</v>
      </c>
      <c r="F10" s="44">
        <v>426.1780000399999</v>
      </c>
      <c r="G10" s="44">
        <v>116.03799997</v>
      </c>
      <c r="H10" s="44">
        <v>351.23399699999993</v>
      </c>
    </row>
    <row r="11" spans="1:8" ht="15">
      <c r="A11" s="43" t="str">
        <f>HLOOKUP(INDICE!$F$2,Nombres!$C$3:$D$636,96,FALSE)</f>
        <v>Dividend income</v>
      </c>
      <c r="B11" s="44">
        <v>11.561848180000027</v>
      </c>
      <c r="C11" s="44">
        <v>71.62975590999997</v>
      </c>
      <c r="D11" s="44">
        <v>11.52539591000019</v>
      </c>
      <c r="E11" s="45">
        <v>62.340999999999624</v>
      </c>
      <c r="F11" s="44">
        <v>10.28400000000002</v>
      </c>
      <c r="G11" s="44">
        <v>92.24199998999993</v>
      </c>
      <c r="H11" s="44">
        <v>1.3880000000002057</v>
      </c>
    </row>
    <row r="12" spans="1:8" ht="15">
      <c r="A12" s="43" t="str">
        <f>HLOOKUP(INDICE!$F$2,Nombres!$C$3:$D$636,97,FALSE)</f>
        <v>Share of  profit/loss of invest. in subsidaries, joint ventures and associates</v>
      </c>
      <c r="B12" s="44">
        <v>7.894504189999999</v>
      </c>
      <c r="C12" s="44">
        <v>5.04038583</v>
      </c>
      <c r="D12" s="44">
        <v>-1.6138900200000004</v>
      </c>
      <c r="E12" s="45">
        <v>-18.819000000000003</v>
      </c>
      <c r="F12" s="44">
        <v>-4.149</v>
      </c>
      <c r="G12" s="44">
        <v>-15.067</v>
      </c>
      <c r="H12" s="44">
        <v>-6.136999999999996</v>
      </c>
    </row>
    <row r="13" spans="1:8" ht="15">
      <c r="A13" s="43" t="str">
        <f>HLOOKUP(INDICE!$F$2,Nombres!$C$3:$D$636,98,FALSE)</f>
        <v>Other products and expenses</v>
      </c>
      <c r="B13" s="44">
        <v>72.34721659</v>
      </c>
      <c r="C13" s="44">
        <v>-70.39526781</v>
      </c>
      <c r="D13" s="44">
        <v>28.171051200000058</v>
      </c>
      <c r="E13" s="45">
        <v>-126.04899999000003</v>
      </c>
      <c r="F13" s="44">
        <v>1.862000009999992</v>
      </c>
      <c r="G13" s="44">
        <v>-95.11899996999995</v>
      </c>
      <c r="H13" s="44">
        <v>27.21699996000006</v>
      </c>
    </row>
    <row r="14" spans="1:8" ht="15">
      <c r="A14" s="41" t="str">
        <f>HLOOKUP(INDICE!$F$2,Nombres!$C$3:$D$636,37,FALSE)</f>
        <v>Gross income</v>
      </c>
      <c r="B14" s="41">
        <f>+SUM(B8:B13)</f>
        <v>6025.60949718</v>
      </c>
      <c r="C14" s="41">
        <f aca="true" t="shared" si="0" ref="C14:H14">+SUM(C8:C13)</f>
        <v>5837.85819046</v>
      </c>
      <c r="D14" s="41">
        <f t="shared" si="0"/>
        <v>5732.66231729</v>
      </c>
      <c r="E14" s="42">
        <f t="shared" si="0"/>
        <v>6150.96200007</v>
      </c>
      <c r="F14" s="41">
        <f t="shared" si="0"/>
        <v>6068.60100007</v>
      </c>
      <c r="G14" s="52">
        <f t="shared" si="0"/>
        <v>5920.22199999</v>
      </c>
      <c r="H14" s="52">
        <f t="shared" si="0"/>
        <v>6134.807997860001</v>
      </c>
    </row>
    <row r="15" spans="1:8" ht="15">
      <c r="A15" s="43" t="str">
        <f>HLOOKUP(INDICE!$F$2,Nombres!$C$3:$D$636,38,FALSE)</f>
        <v>Operating expenses</v>
      </c>
      <c r="B15" s="44">
        <v>-2975.1916225200002</v>
      </c>
      <c r="C15" s="44">
        <v>-2921.1472619499996</v>
      </c>
      <c r="D15" s="44">
        <v>-2824.9381155</v>
      </c>
      <c r="E15" s="45">
        <v>-2980.86700009</v>
      </c>
      <c r="F15" s="44">
        <v>-2921.7309999</v>
      </c>
      <c r="G15" s="44">
        <v>-2952.43700013</v>
      </c>
      <c r="H15" s="44">
        <v>-2945.60500104</v>
      </c>
    </row>
    <row r="16" spans="1:8" ht="15">
      <c r="A16" s="43" t="str">
        <f>HLOOKUP(INDICE!$F$2,Nombres!$C$3:$D$636,39,FALSE)</f>
        <v>  Administration expenses</v>
      </c>
      <c r="B16" s="44">
        <v>-2671.08788329</v>
      </c>
      <c r="C16" s="44">
        <v>-2626.3738188899997</v>
      </c>
      <c r="D16" s="44">
        <v>-2520.53729778</v>
      </c>
      <c r="E16" s="45">
        <v>-2676.29200011</v>
      </c>
      <c r="F16" s="44">
        <v>-2529.76799991</v>
      </c>
      <c r="G16" s="44">
        <v>-2553.9880000900002</v>
      </c>
      <c r="H16" s="44">
        <v>-2543.04100105</v>
      </c>
    </row>
    <row r="17" spans="1:8" ht="15">
      <c r="A17" s="46" t="str">
        <f>HLOOKUP(INDICE!$F$2,Nombres!$C$3:$D$636,40,FALSE)</f>
        <v>  Personnel expenses</v>
      </c>
      <c r="B17" s="44">
        <v>-1565.2904623</v>
      </c>
      <c r="C17" s="44">
        <v>-1539.17713589</v>
      </c>
      <c r="D17" s="44">
        <v>-1458.9144018</v>
      </c>
      <c r="E17" s="45">
        <v>-1556.94300003</v>
      </c>
      <c r="F17" s="44">
        <v>-1552.57500002</v>
      </c>
      <c r="G17" s="44">
        <v>-1578.3360000300002</v>
      </c>
      <c r="H17" s="44">
        <v>-1572.27499993</v>
      </c>
    </row>
    <row r="18" spans="1:8" ht="15">
      <c r="A18" s="46" t="str">
        <f>HLOOKUP(INDICE!$F$2,Nombres!$C$3:$D$636,41,FALSE)</f>
        <v>  General and administrative expenses</v>
      </c>
      <c r="B18" s="44">
        <v>-1105.79742099</v>
      </c>
      <c r="C18" s="44">
        <v>-1087.196683</v>
      </c>
      <c r="D18" s="44">
        <v>-1061.62289598</v>
      </c>
      <c r="E18" s="45">
        <v>-1119.3490000800002</v>
      </c>
      <c r="F18" s="44">
        <v>-977.1929998899998</v>
      </c>
      <c r="G18" s="44">
        <v>-975.6520000599999</v>
      </c>
      <c r="H18" s="44">
        <v>-970.76600112</v>
      </c>
    </row>
    <row r="19" spans="1:8" ht="15">
      <c r="A19" s="43" t="str">
        <f>HLOOKUP(INDICE!$F$2,Nombres!$C$3:$D$636,42,FALSE)</f>
        <v>  Depreciation</v>
      </c>
      <c r="B19" s="44">
        <v>-304.10373923</v>
      </c>
      <c r="C19" s="44">
        <v>-294.77344306</v>
      </c>
      <c r="D19" s="44">
        <v>-304.40081772</v>
      </c>
      <c r="E19" s="45">
        <v>-304.5749999799999</v>
      </c>
      <c r="F19" s="44">
        <v>-391.96299998999996</v>
      </c>
      <c r="G19" s="44">
        <v>-398.44900004</v>
      </c>
      <c r="H19" s="44">
        <v>-402.56399998999996</v>
      </c>
    </row>
    <row r="20" spans="1:8" ht="15">
      <c r="A20" s="41" t="str">
        <f>HLOOKUP(INDICE!$F$2,Nombres!$C$3:$D$636,43,FALSE)</f>
        <v>Operating income</v>
      </c>
      <c r="B20" s="41">
        <f>+B14+B15</f>
        <v>3050.41787466</v>
      </c>
      <c r="C20" s="41">
        <f aca="true" t="shared" si="1" ref="C20:H20">+C14+C15</f>
        <v>2916.71092851</v>
      </c>
      <c r="D20" s="41">
        <f t="shared" si="1"/>
        <v>2907.72420179</v>
      </c>
      <c r="E20" s="42">
        <f t="shared" si="1"/>
        <v>3170.0949999799996</v>
      </c>
      <c r="F20" s="41">
        <f t="shared" si="1"/>
        <v>3146.87000017</v>
      </c>
      <c r="G20" s="52">
        <f t="shared" si="1"/>
        <v>2967.78499986</v>
      </c>
      <c r="H20" s="52">
        <f t="shared" si="1"/>
        <v>3189.202996820001</v>
      </c>
    </row>
    <row r="21" spans="1:8" ht="15">
      <c r="A21" s="43" t="str">
        <f>HLOOKUP(INDICE!$F$2,Nombres!$C$3:$D$636,44,FALSE)</f>
        <v>Impaiment on financial assets not measured at fair value through profit or loss</v>
      </c>
      <c r="B21" s="44">
        <v>-822.7675121899999</v>
      </c>
      <c r="C21" s="44">
        <v>-783.23477929</v>
      </c>
      <c r="D21" s="44">
        <v>-1022.6647084900001</v>
      </c>
      <c r="E21" s="45">
        <v>-1352.53500006</v>
      </c>
      <c r="F21" s="44">
        <v>-1023.2300000600001</v>
      </c>
      <c r="G21" s="44">
        <v>-753.49599992</v>
      </c>
      <c r="H21" s="44">
        <v>-1186.94000001</v>
      </c>
    </row>
    <row r="22" spans="1:8" ht="15">
      <c r="A22" s="43" t="str">
        <f>HLOOKUP(INDICE!$F$2,Nombres!$C$3:$D$636,45,FALSE)</f>
        <v>Provisions or reversal of provisions and other results</v>
      </c>
      <c r="B22" s="44">
        <v>-57.70192999999997</v>
      </c>
      <c r="C22" s="44">
        <v>-17.78725675000001</v>
      </c>
      <c r="D22" s="44">
        <v>-158.50481327000006</v>
      </c>
      <c r="E22" s="45">
        <v>-249.4959999099999</v>
      </c>
      <c r="F22" s="44">
        <v>-166.39999998000002</v>
      </c>
      <c r="G22" s="44">
        <v>-119.19799999999996</v>
      </c>
      <c r="H22" s="44">
        <v>-116.55599999</v>
      </c>
    </row>
    <row r="23" spans="1:8" ht="15">
      <c r="A23" s="41" t="str">
        <f>HLOOKUP(INDICE!$F$2,Nombres!$C$3:$D$636,46,FALSE)</f>
        <v>Profit/(loss) before tax</v>
      </c>
      <c r="B23" s="41">
        <f>+B20+B21+B22</f>
        <v>2169.9484324699997</v>
      </c>
      <c r="C23" s="41">
        <f aca="true" t="shared" si="2" ref="C23:H23">+C20+C21+C22</f>
        <v>2115.68889247</v>
      </c>
      <c r="D23" s="41">
        <f t="shared" si="2"/>
        <v>1726.5546800299996</v>
      </c>
      <c r="E23" s="42">
        <f t="shared" si="2"/>
        <v>1568.0640000099997</v>
      </c>
      <c r="F23" s="41">
        <f t="shared" si="2"/>
        <v>1957.24000013</v>
      </c>
      <c r="G23" s="52">
        <f t="shared" si="2"/>
        <v>2095.09099994</v>
      </c>
      <c r="H23" s="52">
        <f t="shared" si="2"/>
        <v>1885.706996820001</v>
      </c>
    </row>
    <row r="24" spans="1:8" ht="15">
      <c r="A24" s="43" t="str">
        <f>HLOOKUP(INDICE!$F$2,Nombres!$C$3:$D$636,47,FALSE)</f>
        <v>Income tax</v>
      </c>
      <c r="B24" s="44">
        <v>-617.10380704</v>
      </c>
      <c r="C24" s="44">
        <v>-605.15615555</v>
      </c>
      <c r="D24" s="44">
        <v>-419.0680373499999</v>
      </c>
      <c r="E24" s="45">
        <v>-420.99100006000003</v>
      </c>
      <c r="F24" s="44">
        <v>-559.37899996</v>
      </c>
      <c r="G24" s="44">
        <v>-576.54900006</v>
      </c>
      <c r="H24" s="44">
        <v>-487.53199999000003</v>
      </c>
    </row>
    <row r="25" spans="1:8" ht="15">
      <c r="A25" s="41" t="str">
        <f>HLOOKUP(INDICE!$F$2,Nombres!$C$3:$D$636,99,FALSE)</f>
        <v>Result after continuing operation tax</v>
      </c>
      <c r="B25" s="41">
        <f>+B23+B24</f>
        <v>1552.8446254299997</v>
      </c>
      <c r="C25" s="41">
        <f aca="true" t="shared" si="3" ref="C25:H25">+C23+C24</f>
        <v>1510.5327369200002</v>
      </c>
      <c r="D25" s="41">
        <f t="shared" si="3"/>
        <v>1307.4866426799997</v>
      </c>
      <c r="E25" s="42">
        <f t="shared" si="3"/>
        <v>1147.0729999499997</v>
      </c>
      <c r="F25" s="41">
        <f t="shared" si="3"/>
        <v>1397.86100017</v>
      </c>
      <c r="G25" s="52">
        <f t="shared" si="3"/>
        <v>1518.54199988</v>
      </c>
      <c r="H25" s="52">
        <f t="shared" si="3"/>
        <v>1398.174996830001</v>
      </c>
    </row>
    <row r="26" spans="1:8" ht="15">
      <c r="A26" s="43" t="str">
        <f>HLOOKUP(INDICE!$F$2,Nombres!$C$3:$D$636,100,FALSE)</f>
        <v>Result from corporate operations (*)</v>
      </c>
      <c r="B26" s="44">
        <v>0</v>
      </c>
      <c r="C26" s="44">
        <v>0</v>
      </c>
      <c r="D26" s="44">
        <v>633.305</v>
      </c>
      <c r="E26" s="45">
        <v>-0.21499999999991815</v>
      </c>
      <c r="F26" s="44" t="s">
        <v>407</v>
      </c>
      <c r="G26" s="44" t="s">
        <v>407</v>
      </c>
      <c r="H26" s="44" t="s">
        <v>407</v>
      </c>
    </row>
    <row r="27" spans="1:8" ht="15">
      <c r="A27" s="41" t="str">
        <f>HLOOKUP(INDICE!$F$2,Nombres!$C$3:$D$636,48,FALSE)</f>
        <v>Profit/(loss) for the year</v>
      </c>
      <c r="B27" s="41">
        <f>+B25+B26</f>
        <v>1552.8446254299997</v>
      </c>
      <c r="C27" s="41">
        <f aca="true" t="shared" si="4" ref="C27:H27">+C25+C26</f>
        <v>1510.5327369200002</v>
      </c>
      <c r="D27" s="41">
        <f t="shared" si="4"/>
        <v>1940.7916426799998</v>
      </c>
      <c r="E27" s="42">
        <f t="shared" si="4"/>
        <v>1146.8579999499998</v>
      </c>
      <c r="F27" s="41">
        <f t="shared" si="4"/>
        <v>1397.86100017</v>
      </c>
      <c r="G27" s="52">
        <f t="shared" si="4"/>
        <v>1518.54199988</v>
      </c>
      <c r="H27" s="52">
        <f t="shared" si="4"/>
        <v>1398.174996830001</v>
      </c>
    </row>
    <row r="28" spans="1:8" ht="15">
      <c r="A28" s="43" t="str">
        <f>HLOOKUP(INDICE!$F$2,Nombres!$C$3:$D$636,49,FALSE)</f>
        <v>Non-controlling interests</v>
      </c>
      <c r="B28" s="44">
        <v>-262.46146333</v>
      </c>
      <c r="C28" s="44">
        <v>-265.22821189</v>
      </c>
      <c r="D28" s="44">
        <v>-153.91332477999998</v>
      </c>
      <c r="E28" s="45">
        <v>-145.36799997999998</v>
      </c>
      <c r="F28" s="44">
        <v>-234.01900000999998</v>
      </c>
      <c r="G28" s="44">
        <v>-240.50699998</v>
      </c>
      <c r="H28" s="44">
        <v>-173.22900003000004</v>
      </c>
    </row>
    <row r="29" spans="1:8" ht="15">
      <c r="A29" s="47" t="str">
        <f>HLOOKUP(INDICE!$F$2,Nombres!$C$3:$D$636,50,FALSE)</f>
        <v>Net attributable profit</v>
      </c>
      <c r="B29" s="47">
        <f>+B27+B28</f>
        <v>1290.3831620999997</v>
      </c>
      <c r="C29" s="47">
        <f aca="true" t="shared" si="5" ref="C29:H29">+C27+C28</f>
        <v>1245.3045250300001</v>
      </c>
      <c r="D29" s="47">
        <f t="shared" si="5"/>
        <v>1786.8783178999997</v>
      </c>
      <c r="E29" s="47">
        <f t="shared" si="5"/>
        <v>1001.4899999699999</v>
      </c>
      <c r="F29" s="47">
        <f t="shared" si="5"/>
        <v>1163.84200016</v>
      </c>
      <c r="G29" s="53">
        <f t="shared" si="5"/>
        <v>1278.0349999</v>
      </c>
      <c r="H29" s="53">
        <f t="shared" si="5"/>
        <v>1224.945996800001</v>
      </c>
    </row>
    <row r="30" spans="1:8" ht="15">
      <c r="A30" s="47" t="str">
        <f>HLOOKUP(INDICE!$F$2,Nombres!$C$3:$D$636,101,FALSE)</f>
        <v>Attributable profit without corporate transactions </v>
      </c>
      <c r="B30" s="47">
        <f aca="true" t="shared" si="6" ref="B30:H30">+B25+B28</f>
        <v>1290.3831620999997</v>
      </c>
      <c r="C30" s="47">
        <f t="shared" si="6"/>
        <v>1245.3045250300001</v>
      </c>
      <c r="D30" s="47">
        <f t="shared" si="6"/>
        <v>1153.5733178999997</v>
      </c>
      <c r="E30" s="47">
        <f>+E29</f>
        <v>1001.4899999699999</v>
      </c>
      <c r="F30" s="47">
        <f t="shared" si="6"/>
        <v>1163.84200016</v>
      </c>
      <c r="G30" s="53">
        <f t="shared" si="6"/>
        <v>1278.0349999</v>
      </c>
      <c r="H30" s="53">
        <f t="shared" si="6"/>
        <v>1224.945996800001</v>
      </c>
    </row>
    <row r="31" spans="2:8" ht="15">
      <c r="B31" s="48">
        <v>0</v>
      </c>
      <c r="C31" s="48">
        <v>0</v>
      </c>
      <c r="D31" s="48">
        <v>0</v>
      </c>
      <c r="E31" s="48">
        <v>-0.21500000000060027</v>
      </c>
      <c r="F31" s="48">
        <v>0</v>
      </c>
      <c r="G31" s="48">
        <v>0</v>
      </c>
      <c r="H31" s="48">
        <v>0</v>
      </c>
    </row>
    <row r="32" ht="15">
      <c r="A32" s="43"/>
    </row>
    <row r="33" spans="1:8" ht="47.25" customHeight="1">
      <c r="A33"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33" s="287"/>
      <c r="C33" s="287"/>
      <c r="D33" s="287"/>
      <c r="E33" s="287"/>
      <c r="F33" s="287"/>
      <c r="G33" s="287"/>
      <c r="H33" s="287"/>
    </row>
    <row r="34" spans="1:8" ht="15">
      <c r="A34" s="49" t="str">
        <f>HLOOKUP(INDICE!$F$2,Nombres!$C$3:$D$636,228,FALSE)</f>
        <v>(*) Including BBVA Chile`s profit for the 2 first quarters of 2018 and net capital gains in 3Q 2018 of its sale .</v>
      </c>
      <c r="B34" s="50"/>
      <c r="C34" s="50"/>
      <c r="D34" s="50"/>
      <c r="E34" s="50"/>
      <c r="F34" s="50"/>
      <c r="G34" s="50"/>
      <c r="H34" s="50"/>
    </row>
    <row r="35" spans="1:8" ht="15">
      <c r="A35" s="43"/>
      <c r="B35" s="51">
        <v>0</v>
      </c>
      <c r="C35" s="51">
        <v>0</v>
      </c>
      <c r="D35" s="51">
        <v>0</v>
      </c>
      <c r="E35" s="51">
        <v>0</v>
      </c>
      <c r="F35" s="51">
        <v>0</v>
      </c>
      <c r="G35" s="51">
        <v>0</v>
      </c>
      <c r="H35" s="51">
        <v>0</v>
      </c>
    </row>
    <row r="36" spans="2:8" ht="15">
      <c r="B36" s="51">
        <v>0</v>
      </c>
      <c r="C36" s="51">
        <v>0</v>
      </c>
      <c r="D36" s="51">
        <v>0</v>
      </c>
      <c r="E36" s="51">
        <v>-0.21500000000060027</v>
      </c>
      <c r="F36" s="51">
        <v>0</v>
      </c>
      <c r="G36" s="51">
        <v>0</v>
      </c>
      <c r="H36" s="51">
        <v>0</v>
      </c>
    </row>
    <row r="38" spans="1:8" ht="18">
      <c r="A38" s="33" t="str">
        <f>HLOOKUP(INDICE!$F$2,Nombres!$C$3:$D$636,31,FALSE)</f>
        <v>Income statement  </v>
      </c>
      <c r="B38" s="34"/>
      <c r="C38" s="34"/>
      <c r="D38" s="34"/>
      <c r="E38" s="34"/>
      <c r="F38" s="34"/>
      <c r="G38" s="34"/>
      <c r="H38" s="34"/>
    </row>
    <row r="39" spans="1:8" ht="15">
      <c r="A39" s="35" t="str">
        <f>HLOOKUP(INDICE!$F$2,Nombres!$C$3:$D$636,73,FALSE)</f>
        <v>(Constant million euros)    </v>
      </c>
      <c r="B39" s="30"/>
      <c r="C39" s="36"/>
      <c r="D39" s="36"/>
      <c r="E39" s="36"/>
      <c r="F39" s="30"/>
      <c r="G39" s="30"/>
      <c r="H39" s="30"/>
    </row>
    <row r="40" spans="1:8" ht="15">
      <c r="A40" s="37"/>
      <c r="B40" s="30"/>
      <c r="C40" s="36"/>
      <c r="D40" s="36"/>
      <c r="E40" s="36"/>
      <c r="F40" s="30"/>
      <c r="G40" s="30"/>
      <c r="H40" s="30"/>
    </row>
    <row r="41" spans="1:8" ht="15.75">
      <c r="A41" s="38"/>
      <c r="B41" s="288">
        <f>+España!B6</f>
        <v>2018</v>
      </c>
      <c r="C41" s="288"/>
      <c r="D41" s="288"/>
      <c r="E41" s="289"/>
      <c r="F41" s="278">
        <v>2019</v>
      </c>
      <c r="G41" s="277"/>
      <c r="H41" s="277"/>
    </row>
    <row r="42" spans="1:8" ht="15.75">
      <c r="A42" s="38"/>
      <c r="B42" s="39" t="str">
        <f>+España!B7</f>
        <v>1Q</v>
      </c>
      <c r="C42" s="39" t="str">
        <f>+España!C7</f>
        <v>2Q</v>
      </c>
      <c r="D42" s="39" t="str">
        <f>+España!D7</f>
        <v>3Q</v>
      </c>
      <c r="E42" s="40" t="str">
        <f>+España!E7</f>
        <v>4Q</v>
      </c>
      <c r="F42" s="39" t="str">
        <f>+España!F7</f>
        <v>1Q</v>
      </c>
      <c r="G42" s="39" t="str">
        <f>+España!G7</f>
        <v>2Q</v>
      </c>
      <c r="H42" s="39" t="str">
        <f>+España!H7</f>
        <v>3Q</v>
      </c>
    </row>
    <row r="43" spans="1:8" ht="15">
      <c r="A43" s="41" t="str">
        <f>HLOOKUP(INDICE!$F$2,Nombres!$C$3:$D$636,33,FALSE)</f>
        <v>Net interest income</v>
      </c>
      <c r="B43" s="41">
        <v>4115.989444102508</v>
      </c>
      <c r="C43" s="41">
        <v>4241.465311404947</v>
      </c>
      <c r="D43" s="41">
        <v>4445.4560740935</v>
      </c>
      <c r="E43" s="42">
        <v>4677.195390759856</v>
      </c>
      <c r="F43" s="41">
        <v>4364.139210172287</v>
      </c>
      <c r="G43" s="52">
        <v>4525.142452219897</v>
      </c>
      <c r="H43" s="52">
        <v>4585.601337537814</v>
      </c>
    </row>
    <row r="44" spans="1:8" ht="15">
      <c r="A44" s="43" t="str">
        <f>HLOOKUP(INDICE!$F$2,Nombres!$C$3:$D$636,34,FALSE)</f>
        <v>Net fees and commissions</v>
      </c>
      <c r="B44" s="44">
        <v>1191.3626070464597</v>
      </c>
      <c r="C44" s="44">
        <v>1238.0067249436897</v>
      </c>
      <c r="D44" s="44">
        <v>1209.4915458107803</v>
      </c>
      <c r="E44" s="45">
        <v>1225.850474965518</v>
      </c>
      <c r="F44" s="44">
        <v>1204.1814591966288</v>
      </c>
      <c r="G44" s="44">
        <v>1251.4919192008542</v>
      </c>
      <c r="H44" s="44">
        <v>1287.103622592517</v>
      </c>
    </row>
    <row r="45" spans="1:8" ht="15">
      <c r="A45" s="43" t="str">
        <f>HLOOKUP(INDICE!$F$2,Nombres!$C$3:$D$636,35,FALSE)</f>
        <v>Net trading income</v>
      </c>
      <c r="B45" s="44">
        <v>389.1143410203762</v>
      </c>
      <c r="C45" s="44">
        <v>287.65236954677965</v>
      </c>
      <c r="D45" s="44">
        <v>218.96724245305492</v>
      </c>
      <c r="E45" s="45">
        <v>309.64237244824574</v>
      </c>
      <c r="F45" s="44">
        <v>398.7844334080369</v>
      </c>
      <c r="G45" s="44">
        <v>109.09671997701741</v>
      </c>
      <c r="H45" s="44">
        <v>385.5688436249457</v>
      </c>
    </row>
    <row r="46" spans="1:8" ht="15">
      <c r="A46" s="43" t="str">
        <f>HLOOKUP(INDICE!$F$2,Nombres!$C$3:$D$636,96,FALSE)</f>
        <v>Dividend income</v>
      </c>
      <c r="B46" s="44">
        <v>11.626019819856564</v>
      </c>
      <c r="C46" s="44">
        <v>70.86996690317153</v>
      </c>
      <c r="D46" s="44">
        <v>12.182166475135642</v>
      </c>
      <c r="E46" s="45">
        <v>62.352832640603566</v>
      </c>
      <c r="F46" s="44">
        <v>10.204888110092428</v>
      </c>
      <c r="G46" s="44">
        <v>88.4304496817858</v>
      </c>
      <c r="H46" s="44">
        <v>5.278662198121917</v>
      </c>
    </row>
    <row r="47" spans="1:8" ht="15">
      <c r="A47" s="43" t="str">
        <f>HLOOKUP(INDICE!$F$2,Nombres!$C$3:$D$636,97,FALSE)</f>
        <v>Share of  profit/loss of invest. in subsidaries, joint ventures and associates</v>
      </c>
      <c r="B47" s="44">
        <v>6.347073252292763</v>
      </c>
      <c r="C47" s="44">
        <v>4.061511053038682</v>
      </c>
      <c r="D47" s="44">
        <v>-0.32798818265939733</v>
      </c>
      <c r="E47" s="45">
        <v>-15.848746920319531</v>
      </c>
      <c r="F47" s="44">
        <v>-3.76177536622758</v>
      </c>
      <c r="G47" s="44">
        <v>-14.836160744887898</v>
      </c>
      <c r="H47" s="44">
        <v>-6.755063888884515</v>
      </c>
    </row>
    <row r="48" spans="1:8" ht="15">
      <c r="A48" s="43" t="str">
        <f>HLOOKUP(INDICE!$F$2,Nombres!$C$3:$D$636,98,FALSE)</f>
        <v>Other products and expenses</v>
      </c>
      <c r="B48" s="44">
        <v>62.07168624155213</v>
      </c>
      <c r="C48" s="44">
        <v>-72.13828623594033</v>
      </c>
      <c r="D48" s="44">
        <v>35.02008537405065</v>
      </c>
      <c r="E48" s="45">
        <v>-129.53558857077547</v>
      </c>
      <c r="F48" s="44">
        <v>7.290675875781069</v>
      </c>
      <c r="G48" s="44">
        <v>-89.28827966901505</v>
      </c>
      <c r="H48" s="44">
        <v>15.957603793233986</v>
      </c>
    </row>
    <row r="49" spans="1:8" ht="15">
      <c r="A49" s="41" t="str">
        <f>HLOOKUP(INDICE!$F$2,Nombres!$C$3:$D$636,37,FALSE)</f>
        <v>Gross income</v>
      </c>
      <c r="B49" s="41">
        <f>+SUM(B43:B48)</f>
        <v>5776.5111714830455</v>
      </c>
      <c r="C49" s="41">
        <f aca="true" t="shared" si="7" ref="C49:H49">+SUM(C43:C48)</f>
        <v>5769.917597615686</v>
      </c>
      <c r="D49" s="41">
        <f t="shared" si="7"/>
        <v>5920.789126023862</v>
      </c>
      <c r="E49" s="42">
        <f t="shared" si="7"/>
        <v>6129.656735323129</v>
      </c>
      <c r="F49" s="41">
        <f t="shared" si="7"/>
        <v>5980.838891396597</v>
      </c>
      <c r="G49" s="52">
        <f t="shared" si="7"/>
        <v>5870.037100665651</v>
      </c>
      <c r="H49" s="52">
        <f t="shared" si="7"/>
        <v>6272.755005857749</v>
      </c>
    </row>
    <row r="50" spans="1:8" ht="15">
      <c r="A50" s="43" t="str">
        <f>HLOOKUP(INDICE!$F$2,Nombres!$C$3:$D$636,38,FALSE)</f>
        <v>Operating expenses</v>
      </c>
      <c r="B50" s="44">
        <v>-2869.6907253305235</v>
      </c>
      <c r="C50" s="44">
        <v>-2905.1652158001307</v>
      </c>
      <c r="D50" s="44">
        <v>-2921.024716487851</v>
      </c>
      <c r="E50" s="45">
        <v>-2965.238114966136</v>
      </c>
      <c r="F50" s="44">
        <v>-2897.801575721063</v>
      </c>
      <c r="G50" s="44">
        <v>-2936.72137188535</v>
      </c>
      <c r="H50" s="44">
        <v>-2985.2500534635874</v>
      </c>
    </row>
    <row r="51" spans="1:8" ht="15">
      <c r="A51" s="43" t="str">
        <f>HLOOKUP(INDICE!$F$2,Nombres!$C$3:$D$636,39,FALSE)</f>
        <v>  Administration expenses</v>
      </c>
      <c r="B51" s="44">
        <v>-2571.8920659767764</v>
      </c>
      <c r="C51" s="44">
        <v>-2611.053450795114</v>
      </c>
      <c r="D51" s="44">
        <v>-2608.5266292314654</v>
      </c>
      <c r="E51" s="45">
        <v>-2659.117082315881</v>
      </c>
      <c r="F51" s="44">
        <v>-2507.718659851996</v>
      </c>
      <c r="G51" s="44">
        <v>-2538.643874800749</v>
      </c>
      <c r="H51" s="44">
        <v>-2580.4344663972547</v>
      </c>
    </row>
    <row r="52" spans="1:8" ht="15">
      <c r="A52" s="46" t="str">
        <f>HLOOKUP(INDICE!$F$2,Nombres!$C$3:$D$636,40,FALSE)</f>
        <v>  Personnel expenses</v>
      </c>
      <c r="B52" s="44">
        <v>-1510.6132925101015</v>
      </c>
      <c r="C52" s="44">
        <v>-1527.2588915881875</v>
      </c>
      <c r="D52" s="44">
        <v>-1507.8327852828925</v>
      </c>
      <c r="E52" s="45">
        <v>-1547.340496038579</v>
      </c>
      <c r="F52" s="44">
        <v>-1538.3560954824984</v>
      </c>
      <c r="G52" s="44">
        <v>-1569.3620148721839</v>
      </c>
      <c r="H52" s="44">
        <v>-1595.467889625318</v>
      </c>
    </row>
    <row r="53" spans="1:8" ht="15">
      <c r="A53" s="46" t="str">
        <f>HLOOKUP(INDICE!$F$2,Nombres!$C$3:$D$636,41,FALSE)</f>
        <v>  General and administrative expenses</v>
      </c>
      <c r="B53" s="44">
        <v>-1061.2787734666747</v>
      </c>
      <c r="C53" s="44">
        <v>-1083.7945592069266</v>
      </c>
      <c r="D53" s="44">
        <v>-1100.693843948573</v>
      </c>
      <c r="E53" s="45">
        <v>-1111.7765862773022</v>
      </c>
      <c r="F53" s="44">
        <v>-969.3625643694977</v>
      </c>
      <c r="G53" s="44">
        <v>-969.2818599285656</v>
      </c>
      <c r="H53" s="44">
        <v>-984.9665767719366</v>
      </c>
    </row>
    <row r="54" spans="1:8" ht="15">
      <c r="A54" s="43" t="str">
        <f>HLOOKUP(INDICE!$F$2,Nombres!$C$3:$D$636,42,FALSE)</f>
        <v>  Depreciation</v>
      </c>
      <c r="B54" s="44">
        <v>-297.79865935374715</v>
      </c>
      <c r="C54" s="44">
        <v>-294.1117650050173</v>
      </c>
      <c r="D54" s="44">
        <v>-312.49808725638593</v>
      </c>
      <c r="E54" s="45">
        <v>-306.12103265025456</v>
      </c>
      <c r="F54" s="44">
        <v>-390.08291586906677</v>
      </c>
      <c r="G54" s="44">
        <v>-398.07749708460074</v>
      </c>
      <c r="H54" s="44">
        <v>-404.81558706633245</v>
      </c>
    </row>
    <row r="55" spans="1:8" ht="15">
      <c r="A55" s="41" t="str">
        <f>HLOOKUP(INDICE!$F$2,Nombres!$C$3:$D$636,43,FALSE)</f>
        <v>Operating income</v>
      </c>
      <c r="B55" s="41">
        <f>+B49+B50</f>
        <v>2906.820446152522</v>
      </c>
      <c r="C55" s="41">
        <f aca="true" t="shared" si="8" ref="C55:H55">+C49+C50</f>
        <v>2864.752381815555</v>
      </c>
      <c r="D55" s="41">
        <f t="shared" si="8"/>
        <v>2999.764409536011</v>
      </c>
      <c r="E55" s="42">
        <f t="shared" si="8"/>
        <v>3164.4186203569934</v>
      </c>
      <c r="F55" s="41">
        <f t="shared" si="8"/>
        <v>3083.0373156755345</v>
      </c>
      <c r="G55" s="52">
        <f t="shared" si="8"/>
        <v>2933.3157287803015</v>
      </c>
      <c r="H55" s="52">
        <f t="shared" si="8"/>
        <v>3287.5049523941616</v>
      </c>
    </row>
    <row r="56" spans="1:8" ht="15">
      <c r="A56" s="43" t="str">
        <f>HLOOKUP(INDICE!$F$2,Nombres!$C$3:$D$636,44,FALSE)</f>
        <v>Impaiment on financial assets not measured at fair value through profit or loss</v>
      </c>
      <c r="B56" s="44">
        <v>-800.9696225495974</v>
      </c>
      <c r="C56" s="44">
        <v>-769.3145042241952</v>
      </c>
      <c r="D56" s="44">
        <v>-1019.0248397589002</v>
      </c>
      <c r="E56" s="45">
        <v>-1329.8173265756186</v>
      </c>
      <c r="F56" s="44">
        <v>-1014.5574213261319</v>
      </c>
      <c r="G56" s="44">
        <v>-751.0249555694554</v>
      </c>
      <c r="H56" s="44">
        <v>-1198.0836230944128</v>
      </c>
    </row>
    <row r="57" spans="1:8" ht="15">
      <c r="A57" s="43" t="str">
        <f>HLOOKUP(INDICE!$F$2,Nombres!$C$3:$D$636,45,FALSE)</f>
        <v>Provisions or reversal of provisions and other results</v>
      </c>
      <c r="B57" s="44">
        <v>-58.192042661469564</v>
      </c>
      <c r="C57" s="44">
        <v>-13.352305666204586</v>
      </c>
      <c r="D57" s="44">
        <v>-157.31440338645154</v>
      </c>
      <c r="E57" s="45">
        <v>-244.5858201742944</v>
      </c>
      <c r="F57" s="44">
        <v>-165.2977005143598</v>
      </c>
      <c r="G57" s="44">
        <v>-116.74131642699723</v>
      </c>
      <c r="H57" s="44">
        <v>-120.1149830286429</v>
      </c>
    </row>
    <row r="58" spans="1:8" ht="15">
      <c r="A58" s="41" t="str">
        <f>HLOOKUP(INDICE!$F$2,Nombres!$C$3:$D$636,46,FALSE)</f>
        <v>Profit/(loss) before tax</v>
      </c>
      <c r="B58" s="41">
        <f>+B55+B56+B57</f>
        <v>2047.6587809414552</v>
      </c>
      <c r="C58" s="41">
        <f aca="true" t="shared" si="9" ref="C58:H58">+C55+C56+C57</f>
        <v>2082.0855719251554</v>
      </c>
      <c r="D58" s="41">
        <f t="shared" si="9"/>
        <v>1823.4251663906593</v>
      </c>
      <c r="E58" s="42">
        <f t="shared" si="9"/>
        <v>1590.0154736070804</v>
      </c>
      <c r="F58" s="41">
        <f t="shared" si="9"/>
        <v>1903.1821938350427</v>
      </c>
      <c r="G58" s="52">
        <f t="shared" si="9"/>
        <v>2065.5494567838487</v>
      </c>
      <c r="H58" s="52">
        <f t="shared" si="9"/>
        <v>1969.306346271106</v>
      </c>
    </row>
    <row r="59" spans="1:8" ht="15">
      <c r="A59" s="43" t="str">
        <f>HLOOKUP(INDICE!$F$2,Nombres!$C$3:$D$636,47,FALSE)</f>
        <v>Income tax</v>
      </c>
      <c r="B59" s="44">
        <v>-588.736491579806</v>
      </c>
      <c r="C59" s="44">
        <v>-595.3063970342644</v>
      </c>
      <c r="D59" s="44">
        <v>-453.6574577878473</v>
      </c>
      <c r="E59" s="45">
        <v>-426.08940310545483</v>
      </c>
      <c r="F59" s="44">
        <v>-545.0226327751357</v>
      </c>
      <c r="G59" s="44">
        <v>-567.8597589286031</v>
      </c>
      <c r="H59" s="44">
        <v>-510.57760830626114</v>
      </c>
    </row>
    <row r="60" spans="1:8" ht="15">
      <c r="A60" s="41" t="str">
        <f>HLOOKUP(INDICE!$F$2,Nombres!$C$3:$D$636,99,FALSE)</f>
        <v>Result after continuing operation tax</v>
      </c>
      <c r="B60" s="41">
        <f>+B58+B59</f>
        <v>1458.9222893616493</v>
      </c>
      <c r="C60" s="41">
        <f aca="true" t="shared" si="10" ref="C60:H60">+C58+C59</f>
        <v>1486.779174890891</v>
      </c>
      <c r="D60" s="41">
        <f t="shared" si="10"/>
        <v>1369.767708602812</v>
      </c>
      <c r="E60" s="42">
        <f t="shared" si="10"/>
        <v>1163.9260705016254</v>
      </c>
      <c r="F60" s="41">
        <f t="shared" si="10"/>
        <v>1358.159561059907</v>
      </c>
      <c r="G60" s="52">
        <f t="shared" si="10"/>
        <v>1497.6896978552454</v>
      </c>
      <c r="H60" s="52">
        <f t="shared" si="10"/>
        <v>1458.7287379648446</v>
      </c>
    </row>
    <row r="61" spans="1:8" ht="15">
      <c r="A61" s="43" t="str">
        <f>HLOOKUP(INDICE!$F$2,Nombres!$C$3:$D$636,100,FALSE)</f>
        <v>Result from corporate operations (*)</v>
      </c>
      <c r="B61" s="44">
        <v>0</v>
      </c>
      <c r="C61" s="44">
        <v>0</v>
      </c>
      <c r="D61" s="44">
        <v>633.305</v>
      </c>
      <c r="E61" s="45">
        <v>-0.21499999999991815</v>
      </c>
      <c r="F61" s="44" t="s">
        <v>407</v>
      </c>
      <c r="G61" s="44" t="s">
        <v>407</v>
      </c>
      <c r="H61" s="44" t="s">
        <v>407</v>
      </c>
    </row>
    <row r="62" spans="1:8" ht="15">
      <c r="A62" s="41" t="str">
        <f>HLOOKUP(INDICE!$F$2,Nombres!$C$3:$D$636,48,FALSE)</f>
        <v>Profit/(loss) for the year</v>
      </c>
      <c r="B62" s="41">
        <f>+B60+B61</f>
        <v>1458.9222893616493</v>
      </c>
      <c r="C62" s="41">
        <f aca="true" t="shared" si="11" ref="C62:H62">+C60+C61</f>
        <v>1486.779174890891</v>
      </c>
      <c r="D62" s="41">
        <f t="shared" si="11"/>
        <v>2003.0727086028119</v>
      </c>
      <c r="E62" s="42">
        <f t="shared" si="11"/>
        <v>1163.7110705016255</v>
      </c>
      <c r="F62" s="41">
        <f t="shared" si="11"/>
        <v>1358.159561059907</v>
      </c>
      <c r="G62" s="52">
        <f t="shared" si="11"/>
        <v>1497.6896978552454</v>
      </c>
      <c r="H62" s="52">
        <f t="shared" si="11"/>
        <v>1458.7287379648446</v>
      </c>
    </row>
    <row r="63" spans="1:8" ht="15">
      <c r="A63" s="43" t="str">
        <f>HLOOKUP(INDICE!$F$2,Nombres!$C$3:$D$636,49,FALSE)</f>
        <v>Non-controlling interests</v>
      </c>
      <c r="B63" s="44">
        <v>-197.44567351542028</v>
      </c>
      <c r="C63" s="44">
        <v>-231.54001512692918</v>
      </c>
      <c r="D63" s="44">
        <v>-175.96009850323145</v>
      </c>
      <c r="E63" s="45">
        <v>-147.53703519574464</v>
      </c>
      <c r="F63" s="44">
        <v>-217.51308949913974</v>
      </c>
      <c r="G63" s="44">
        <v>-237.80931427618611</v>
      </c>
      <c r="H63" s="44">
        <v>-192.43259624467416</v>
      </c>
    </row>
    <row r="64" spans="1:8" ht="15">
      <c r="A64" s="47" t="str">
        <f>HLOOKUP(INDICE!$F$2,Nombres!$C$3:$D$636,50,FALSE)</f>
        <v>Net attributable profit</v>
      </c>
      <c r="B64" s="47">
        <f>+B62+B63</f>
        <v>1261.476615846229</v>
      </c>
      <c r="C64" s="47">
        <f aca="true" t="shared" si="12" ref="C64:H64">+C62+C63</f>
        <v>1255.2391597639619</v>
      </c>
      <c r="D64" s="47">
        <f t="shared" si="12"/>
        <v>1827.1126100995805</v>
      </c>
      <c r="E64" s="47">
        <f t="shared" si="12"/>
        <v>1016.1740353058808</v>
      </c>
      <c r="F64" s="47">
        <f t="shared" si="12"/>
        <v>1140.6464715607672</v>
      </c>
      <c r="G64" s="53">
        <f t="shared" si="12"/>
        <v>1259.8803835790593</v>
      </c>
      <c r="H64" s="53">
        <f t="shared" si="12"/>
        <v>1266.2961417201705</v>
      </c>
    </row>
    <row r="65" spans="1:8" ht="15">
      <c r="A65" s="47" t="str">
        <f>HLOOKUP(INDICE!$F$2,Nombres!$C$3:$D$636,101,FALSE)</f>
        <v>Attributable profit without corporate transactions </v>
      </c>
      <c r="B65" s="47">
        <f aca="true" t="shared" si="13" ref="B65:H65">+B60+B63</f>
        <v>1261.476615846229</v>
      </c>
      <c r="C65" s="47">
        <f t="shared" si="13"/>
        <v>1255.2391597639619</v>
      </c>
      <c r="D65" s="47">
        <f t="shared" si="13"/>
        <v>1193.8076100995806</v>
      </c>
      <c r="E65" s="47">
        <f t="shared" si="13"/>
        <v>1016.3890353058807</v>
      </c>
      <c r="F65" s="47">
        <f t="shared" si="13"/>
        <v>1140.6464715607672</v>
      </c>
      <c r="G65" s="53">
        <f t="shared" si="13"/>
        <v>1259.8803835790593</v>
      </c>
      <c r="H65" s="53">
        <f t="shared" si="13"/>
        <v>1266.2961417201705</v>
      </c>
    </row>
    <row r="66" spans="2:8" ht="15">
      <c r="B66" s="48">
        <v>0</v>
      </c>
      <c r="C66" s="48">
        <v>0</v>
      </c>
      <c r="D66" s="48">
        <v>0</v>
      </c>
      <c r="E66" s="48">
        <v>0</v>
      </c>
      <c r="F66" s="48">
        <v>-1.8189894035458565E-12</v>
      </c>
      <c r="G66" s="48">
        <v>0</v>
      </c>
      <c r="H66" s="48">
        <v>0</v>
      </c>
    </row>
    <row r="67" ht="15">
      <c r="A67" s="43"/>
    </row>
    <row r="68" spans="1:8" ht="47.25" customHeight="1">
      <c r="A68"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68" s="287"/>
      <c r="C68" s="287"/>
      <c r="D68" s="287"/>
      <c r="E68" s="287"/>
      <c r="F68" s="287"/>
      <c r="G68" s="287"/>
      <c r="H68" s="287"/>
    </row>
    <row r="69" spans="1:8" ht="15">
      <c r="A69" s="49" t="str">
        <f>HLOOKUP(INDICE!$F$2,Nombres!$C$3:$D$636,228,FALSE)</f>
        <v>(*) Including BBVA Chile`s profit for the 2 first quarters of 2018 and net capital gains in 3Q 2018 of its sale .</v>
      </c>
      <c r="B69" s="50"/>
      <c r="C69" s="50"/>
      <c r="D69" s="50"/>
      <c r="E69" s="50"/>
      <c r="F69" s="50"/>
      <c r="G69" s="50"/>
      <c r="H69" s="50"/>
    </row>
    <row r="70" spans="1:8" ht="15">
      <c r="A70" s="43"/>
      <c r="B70" s="51">
        <v>0</v>
      </c>
      <c r="C70" s="51">
        <v>0</v>
      </c>
      <c r="D70" s="51">
        <v>0</v>
      </c>
      <c r="E70" s="51">
        <v>0</v>
      </c>
      <c r="F70" s="51">
        <v>-1.8189894035458565E-12</v>
      </c>
      <c r="G70" s="250">
        <v>0</v>
      </c>
      <c r="H70" s="250">
        <v>0</v>
      </c>
    </row>
    <row r="71" spans="2:8" ht="15">
      <c r="B71" s="51">
        <v>0</v>
      </c>
      <c r="C71" s="51">
        <v>0</v>
      </c>
      <c r="D71" s="51">
        <v>0</v>
      </c>
      <c r="E71" s="51">
        <v>0</v>
      </c>
      <c r="F71" s="51">
        <v>-1.8189894035458565E-12</v>
      </c>
      <c r="G71" s="250">
        <v>0</v>
      </c>
      <c r="H71" s="250">
        <v>0</v>
      </c>
    </row>
    <row r="1000" ht="15">
      <c r="A1000" s="31" t="s">
        <v>406</v>
      </c>
    </row>
  </sheetData>
  <sheetProtection/>
  <mergeCells count="5">
    <mergeCell ref="B6:E6"/>
    <mergeCell ref="B41:E41"/>
    <mergeCell ref="F6:H6"/>
    <mergeCell ref="A68:H68"/>
    <mergeCell ref="A33:H33"/>
  </mergeCells>
  <conditionalFormatting sqref="B35:H35">
    <cfRule type="cellIs" priority="20" dxfId="16" operator="notBetween">
      <formula>0.4</formula>
      <formula>-0.4</formula>
    </cfRule>
  </conditionalFormatting>
  <conditionalFormatting sqref="B36:H36">
    <cfRule type="cellIs" priority="19" dxfId="16" operator="notBetween">
      <formula>0.4</formula>
      <formula>-0.4</formula>
    </cfRule>
  </conditionalFormatting>
  <conditionalFormatting sqref="B31">
    <cfRule type="cellIs" priority="18" dxfId="92" operator="notBetween">
      <formula>0.5</formula>
      <formula>-0.5</formula>
    </cfRule>
  </conditionalFormatting>
  <conditionalFormatting sqref="C31">
    <cfRule type="cellIs" priority="17" dxfId="92" operator="notBetween">
      <formula>0.5</formula>
      <formula>-0.5</formula>
    </cfRule>
  </conditionalFormatting>
  <conditionalFormatting sqref="D31">
    <cfRule type="cellIs" priority="16" dxfId="92" operator="notBetween">
      <formula>0.5</formula>
      <formula>-0.5</formula>
    </cfRule>
  </conditionalFormatting>
  <conditionalFormatting sqref="E31">
    <cfRule type="cellIs" priority="15" dxfId="92" operator="notBetween">
      <formula>0.5</formula>
      <formula>-0.5</formula>
    </cfRule>
  </conditionalFormatting>
  <conditionalFormatting sqref="F31">
    <cfRule type="cellIs" priority="14" dxfId="92" operator="notBetween">
      <formula>0.5</formula>
      <formula>-0.5</formula>
    </cfRule>
  </conditionalFormatting>
  <conditionalFormatting sqref="G31">
    <cfRule type="cellIs" priority="13" dxfId="92" operator="notBetween">
      <formula>0.5</formula>
      <formula>-0.5</formula>
    </cfRule>
  </conditionalFormatting>
  <conditionalFormatting sqref="H31">
    <cfRule type="cellIs" priority="12" dxfId="92" operator="notBetween">
      <formula>0.5</formula>
      <formula>-0.5</formula>
    </cfRule>
  </conditionalFormatting>
  <conditionalFormatting sqref="B70:G70">
    <cfRule type="cellIs" priority="11" dxfId="16" operator="notBetween">
      <formula>0.4</formula>
      <formula>-0.4</formula>
    </cfRule>
  </conditionalFormatting>
  <conditionalFormatting sqref="B71:G71">
    <cfRule type="cellIs" priority="10" dxfId="16" operator="notBetween">
      <formula>0.4</formula>
      <formula>-0.4</formula>
    </cfRule>
  </conditionalFormatting>
  <conditionalFormatting sqref="B66:H66">
    <cfRule type="cellIs" priority="9" dxfId="92" operator="notBetween">
      <formula>0.5</formula>
      <formula>-0.5</formula>
    </cfRule>
  </conditionalFormatting>
  <conditionalFormatting sqref="C66">
    <cfRule type="cellIs" priority="8" dxfId="92" operator="notBetween">
      <formula>0.5</formula>
      <formula>-0.5</formula>
    </cfRule>
  </conditionalFormatting>
  <conditionalFormatting sqref="D66">
    <cfRule type="cellIs" priority="7" dxfId="92" operator="notBetween">
      <formula>0.5</formula>
      <formula>-0.5</formula>
    </cfRule>
  </conditionalFormatting>
  <conditionalFormatting sqref="E66">
    <cfRule type="cellIs" priority="6" dxfId="92" operator="notBetween">
      <formula>0.5</formula>
      <formula>-0.5</formula>
    </cfRule>
  </conditionalFormatting>
  <conditionalFormatting sqref="F66">
    <cfRule type="cellIs" priority="5" dxfId="92" operator="notBetween">
      <formula>0.5</formula>
      <formula>-0.5</formula>
    </cfRule>
  </conditionalFormatting>
  <conditionalFormatting sqref="G66">
    <cfRule type="cellIs" priority="4" dxfId="92" operator="notBetween">
      <formula>0.5</formula>
      <formula>-0.5</formula>
    </cfRule>
  </conditionalFormatting>
  <conditionalFormatting sqref="H66">
    <cfRule type="cellIs" priority="3" dxfId="92" operator="notBetween">
      <formula>0.5</formula>
      <formula>-0.5</formula>
    </cfRule>
  </conditionalFormatting>
  <conditionalFormatting sqref="H70">
    <cfRule type="cellIs" priority="2" dxfId="16" operator="notBetween">
      <formula>0.4</formula>
      <formula>-0.4</formula>
    </cfRule>
  </conditionalFormatting>
  <conditionalFormatting sqref="H71">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52.8515625" style="0" customWidth="1"/>
    <col min="5" max="5" width="8.140625" style="0" customWidth="1"/>
    <col min="6" max="6" width="7.421875" style="0" customWidth="1"/>
    <col min="7" max="8" width="14.140625" style="0" customWidth="1"/>
  </cols>
  <sheetData>
    <row r="1" spans="1:23" ht="18">
      <c r="A1" s="100" t="str">
        <f>HLOOKUP(INDICE!$F$2,Nombres!$C$3:$D$636,161,FALSE)</f>
        <v>Exchange rates</v>
      </c>
      <c r="B1" s="101"/>
      <c r="C1" s="101"/>
      <c r="D1" s="101"/>
      <c r="E1" s="101"/>
      <c r="F1" s="101"/>
      <c r="G1" s="101"/>
      <c r="H1" s="101"/>
      <c r="I1" s="123"/>
      <c r="J1" s="102"/>
      <c r="K1" s="102"/>
      <c r="L1" s="102"/>
      <c r="M1" s="168"/>
      <c r="N1" s="168"/>
      <c r="O1" s="168"/>
      <c r="P1" s="168"/>
      <c r="Q1" s="168"/>
      <c r="R1" s="168"/>
      <c r="S1" s="168"/>
      <c r="T1" s="168"/>
      <c r="U1" s="168"/>
      <c r="V1" s="168"/>
      <c r="W1" s="168"/>
    </row>
    <row r="2" spans="1:12" ht="15">
      <c r="A2" s="169" t="str">
        <f>HLOOKUP(INDICE!$F$2,Nombres!$C$3:$D$636,162,FALSE)</f>
        <v>(Expressed in currency/euro)</v>
      </c>
      <c r="B2" s="170"/>
      <c r="C2" s="170"/>
      <c r="D2" s="170"/>
      <c r="E2" s="170"/>
      <c r="F2" s="170"/>
      <c r="G2" s="170"/>
      <c r="H2" s="170"/>
      <c r="I2" s="123"/>
      <c r="J2" s="102"/>
      <c r="K2" s="102"/>
      <c r="L2" s="102"/>
    </row>
    <row r="3" spans="1:8" ht="19.5">
      <c r="A3" s="171"/>
      <c r="B3" s="293" t="str">
        <f>HLOOKUP(INDICE!$F$2,Nombres!$C$3:$D$636,163,FALSE)</f>
        <v>Year-end exchange rates (*)</v>
      </c>
      <c r="C3" s="293"/>
      <c r="D3" s="293"/>
      <c r="E3" s="172"/>
      <c r="F3" s="173"/>
      <c r="G3" s="293" t="str">
        <f>HLOOKUP(INDICE!$F$2,Nombres!$C$3:$D$636,164,FALSE)</f>
        <v>Average exchange rates (**)</v>
      </c>
      <c r="H3" s="293"/>
    </row>
    <row r="4" spans="1:8" ht="15.75">
      <c r="A4" s="105"/>
      <c r="B4" s="80"/>
      <c r="C4" s="174" t="str">
        <f>HLOOKUP(INDICE!$F$2,Nombres!$C$3:$D$636,165,FALSE)</f>
        <v>∆% on</v>
      </c>
      <c r="D4" s="174" t="str">
        <f>HLOOKUP(INDICE!$F$2,Nombres!$C$3:$D$636,165,FALSE)</f>
        <v>∆% on</v>
      </c>
      <c r="E4" s="172"/>
      <c r="F4" s="173"/>
      <c r="G4" s="175"/>
      <c r="H4" s="174" t="str">
        <f>HLOOKUP(INDICE!$F$2,Nombres!$C$3:$D$636,165,FALSE)</f>
        <v>∆% on</v>
      </c>
    </row>
    <row r="5" spans="1:8" ht="15.75">
      <c r="A5" s="105"/>
      <c r="B5" s="176">
        <v>43738</v>
      </c>
      <c r="C5" s="176">
        <f>DATE(YEAR(B5),MONTH(B5)-12,DAY(B5))</f>
        <v>43373</v>
      </c>
      <c r="D5" s="176">
        <v>43465</v>
      </c>
      <c r="E5" s="177"/>
      <c r="F5" s="178"/>
      <c r="G5" s="176">
        <f>+B5</f>
        <v>43738</v>
      </c>
      <c r="H5" s="179">
        <f>+C5</f>
        <v>43373</v>
      </c>
    </row>
    <row r="6" spans="1:8" ht="15">
      <c r="A6" s="61" t="str">
        <f>HLOOKUP(INDICE!$F$2,Nombres!$C$3:$D$636,152,FALSE)</f>
        <v>Mexican peso</v>
      </c>
      <c r="B6" s="180">
        <v>21.452200000077283</v>
      </c>
      <c r="C6" s="181">
        <v>0.01527345835692806</v>
      </c>
      <c r="D6" s="181">
        <v>0.04847650847953222</v>
      </c>
      <c r="E6" s="182"/>
      <c r="F6" s="60"/>
      <c r="G6" s="180">
        <v>21.63150799997961</v>
      </c>
      <c r="H6" s="181">
        <v>0.05110984479661673</v>
      </c>
    </row>
    <row r="7" spans="1:8" ht="15">
      <c r="A7" s="61" t="str">
        <f>HLOOKUP(INDICE!$F$2,Nombres!$C$3:$D$636,153,FALSE)</f>
        <v>U.S. dollar</v>
      </c>
      <c r="B7" s="180">
        <v>1.0889000000000248</v>
      </c>
      <c r="C7" s="181">
        <v>0.06309150592112589</v>
      </c>
      <c r="D7" s="181">
        <v>0.05152041872556867</v>
      </c>
      <c r="E7" s="150"/>
      <c r="F7" s="60"/>
      <c r="G7" s="180">
        <v>1.1236259999994167</v>
      </c>
      <c r="H7" s="181">
        <v>0.06298772879461079</v>
      </c>
    </row>
    <row r="8" spans="1:8" ht="15">
      <c r="A8" s="61" t="str">
        <f>HLOOKUP(INDICE!$F$2,Nombres!$C$3:$D$636,154,FALSE)</f>
        <v>Argentine peso</v>
      </c>
      <c r="B8" s="180">
        <v>62.413026001065475</v>
      </c>
      <c r="C8" s="181">
        <v>-0.26718366396816695</v>
      </c>
      <c r="D8" s="181">
        <v>-0.30639409649350646</v>
      </c>
      <c r="E8" s="150"/>
      <c r="F8" s="60"/>
      <c r="G8" s="180">
        <v>62.413026001065475</v>
      </c>
      <c r="H8" s="181">
        <v>-0.26718366396816695</v>
      </c>
    </row>
    <row r="9" spans="1:8" ht="15">
      <c r="A9" s="61" t="str">
        <f>HLOOKUP(INDICE!$F$2,Nombres!$C$3:$D$636,155,FALSE)</f>
        <v>Chilean peso</v>
      </c>
      <c r="B9" s="180">
        <v>790.1929519384449</v>
      </c>
      <c r="C9" s="181">
        <v>-0.031000235834609535</v>
      </c>
      <c r="D9" s="181">
        <v>0.006773024661893334</v>
      </c>
      <c r="E9" s="150"/>
      <c r="F9" s="60"/>
      <c r="G9" s="180">
        <v>770.4412782701274</v>
      </c>
      <c r="H9" s="181">
        <v>-0.026288481620405202</v>
      </c>
    </row>
    <row r="10" spans="1:8" ht="15">
      <c r="A10" s="61" t="str">
        <f>HLOOKUP(INDICE!$F$2,Nombres!$C$3:$D$636,156,FALSE)</f>
        <v>Colombian peso</v>
      </c>
      <c r="B10" s="180">
        <v>3769.7826886150456</v>
      </c>
      <c r="C10" s="181">
        <v>-0.08212013840830445</v>
      </c>
      <c r="D10" s="181">
        <v>-0.006489588014981229</v>
      </c>
      <c r="E10" s="150"/>
      <c r="F10" s="60"/>
      <c r="G10" s="180">
        <v>3639.631125132491</v>
      </c>
      <c r="H10" s="181">
        <v>-0.0525754551724138</v>
      </c>
    </row>
    <row r="11" spans="1:8" ht="15">
      <c r="A11" s="61" t="str">
        <f>HLOOKUP(INDICE!$F$2,Nombres!$C$3:$D$636,157,FALSE)</f>
        <v>Peruvian sol</v>
      </c>
      <c r="B11" s="180">
        <v>3.6804820000030496</v>
      </c>
      <c r="C11" s="181">
        <v>0.036482578686961364</v>
      </c>
      <c r="D11" s="181">
        <v>0.049344190358672435</v>
      </c>
      <c r="E11" s="150"/>
      <c r="F11" s="60"/>
      <c r="G11" s="180">
        <v>3.7378230000050707</v>
      </c>
      <c r="H11" s="181">
        <v>0.042117019674902556</v>
      </c>
    </row>
    <row r="12" spans="1:8" ht="15">
      <c r="A12" s="61" t="str">
        <f>HLOOKUP(INDICE!$F$2,Nombres!$C$3:$D$636,158,FALSE)</f>
        <v>Turkish lira</v>
      </c>
      <c r="B12" s="180">
        <v>6.149099999997068</v>
      </c>
      <c r="C12" s="181">
        <v>0.13268622572871314</v>
      </c>
      <c r="D12" s="181">
        <v>-0.014683973492720326</v>
      </c>
      <c r="E12" s="150"/>
      <c r="F12" s="60"/>
      <c r="G12" s="180">
        <v>6.340102999988383</v>
      </c>
      <c r="H12" s="181">
        <v>-0.13145918095914622</v>
      </c>
    </row>
    <row r="13" spans="1:8" ht="15">
      <c r="A13" s="104"/>
      <c r="C13" s="183"/>
      <c r="D13" s="183"/>
      <c r="E13" s="183"/>
      <c r="F13" s="183"/>
      <c r="G13" s="104"/>
      <c r="H13" s="104"/>
    </row>
    <row r="14" spans="1:8" ht="15">
      <c r="A14" s="104"/>
      <c r="B14" s="184"/>
      <c r="C14" s="183"/>
      <c r="D14" s="183"/>
      <c r="E14" s="183"/>
      <c r="F14" s="183"/>
      <c r="G14" s="104"/>
      <c r="H14" s="104"/>
    </row>
    <row r="15" spans="1:8" ht="15">
      <c r="A15" s="122" t="str">
        <f>HLOOKUP(INDICE!$F$2,Nombres!$C$3:$D$636,159,FALSE)</f>
        <v>(*) Used in the constant euros comparisons for the balance sheet and business activity</v>
      </c>
      <c r="B15" s="134"/>
      <c r="C15" s="134"/>
      <c r="D15" s="134"/>
      <c r="E15" s="183"/>
      <c r="F15" s="183"/>
      <c r="G15" s="104"/>
      <c r="H15" s="104"/>
    </row>
    <row r="16" spans="1:8" ht="15">
      <c r="A16" s="122" t="str">
        <f>HLOOKUP(INDICE!$F$2,Nombres!$C$3:$D$636,160,FALSE)</f>
        <v>(**) Used in the constant euros comparisons for the profit and loss</v>
      </c>
      <c r="B16" s="134"/>
      <c r="C16" s="134"/>
      <c r="D16" s="134"/>
      <c r="E16" s="183"/>
      <c r="F16" s="183"/>
      <c r="G16" s="104"/>
      <c r="H16" s="104"/>
    </row>
    <row r="20" ht="15">
      <c r="C20" s="183"/>
    </row>
    <row r="25" spans="2:4" ht="15">
      <c r="B25" s="284"/>
      <c r="C25" s="284"/>
      <c r="D25" s="284"/>
    </row>
    <row r="27" ht="15">
      <c r="D27" s="284"/>
    </row>
    <row r="1000" ht="15">
      <c r="A1000" t="s">
        <v>406</v>
      </c>
    </row>
  </sheetData>
  <sheetProtection/>
  <mergeCells count="2">
    <mergeCell ref="B3:D3"/>
    <mergeCell ref="G3:H3"/>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D1000"/>
  <sheetViews>
    <sheetView showGridLines="0" zoomScalePageLayoutView="0" workbookViewId="0" topLeftCell="A1">
      <selection activeCell="A1" sqref="A1"/>
    </sheetView>
  </sheetViews>
  <sheetFormatPr defaultColWidth="11.421875" defaultRowHeight="15"/>
  <cols>
    <col min="1" max="1" width="30.7109375" style="186" customWidth="1"/>
    <col min="2" max="8" width="10.7109375" style="186" customWidth="1"/>
    <col min="9" max="255" width="11.421875" style="186" customWidth="1"/>
  </cols>
  <sheetData>
    <row r="1" spans="1:8" ht="19.5">
      <c r="A1" s="100" t="str">
        <f>HLOOKUP(INDICE!$F$2,Nombres!$C$3:$D$636,171,FALSE)</f>
        <v>Customer Spreads (*)</v>
      </c>
      <c r="B1" s="185"/>
      <c r="C1" s="185"/>
      <c r="D1" s="185"/>
      <c r="E1" s="185"/>
      <c r="F1" s="185"/>
      <c r="G1" s="265"/>
      <c r="H1" s="265"/>
    </row>
    <row r="2" spans="1:8" ht="19.5">
      <c r="A2" s="187" t="str">
        <f>HLOOKUP(INDICE!$F$2,Nombres!$C$3:$D$636,172,FALSE)</f>
        <v>(Percentage)</v>
      </c>
      <c r="B2" s="188"/>
      <c r="C2" s="188"/>
      <c r="D2" s="188"/>
      <c r="E2" s="188"/>
      <c r="F2" s="188"/>
      <c r="G2" s="189"/>
      <c r="H2" s="189"/>
    </row>
    <row r="3" spans="1:8" ht="15.75">
      <c r="A3" s="189"/>
      <c r="B3" s="294">
        <v>2018</v>
      </c>
      <c r="C3" s="294"/>
      <c r="D3" s="294"/>
      <c r="E3" s="294"/>
      <c r="F3" s="294">
        <v>2019</v>
      </c>
      <c r="G3" s="294"/>
      <c r="H3" s="294"/>
    </row>
    <row r="4" spans="1:8" ht="15.75">
      <c r="A4" s="150"/>
      <c r="B4" s="190" t="str">
        <f>HLOOKUP(INDICE!$F$2,Nombres!$C$3:$D$636,167,FALSE)</f>
        <v>1Q</v>
      </c>
      <c r="C4" s="190" t="str">
        <f>HLOOKUP(INDICE!$F$2,Nombres!$C$3:$D$636,168,FALSE)</f>
        <v>2Q</v>
      </c>
      <c r="D4" s="190" t="str">
        <f>HLOOKUP(INDICE!$F$2,Nombres!$C$3:$D$636,169,FALSE)</f>
        <v>3Q</v>
      </c>
      <c r="E4" s="190" t="str">
        <f>HLOOKUP(INDICE!$F$2,Nombres!$C$3:$D$636,170,FALSE)</f>
        <v>4Q</v>
      </c>
      <c r="F4" s="190" t="str">
        <f>HLOOKUP(INDICE!$F$2,Nombres!$C$3:$D$636,167,FALSE)</f>
        <v>1Q</v>
      </c>
      <c r="G4" s="190" t="str">
        <f>HLOOKUP(INDICE!$F$2,Nombres!$C$3:$D$636,168,FALSE)</f>
        <v>2Q</v>
      </c>
      <c r="H4" s="190" t="str">
        <f>HLOOKUP(INDICE!$F$2,Nombres!$C$3:$D$636,169,FALSE)</f>
        <v>3Q</v>
      </c>
    </row>
    <row r="5" spans="1:8" ht="15">
      <c r="A5" s="150"/>
      <c r="B5" s="107"/>
      <c r="C5" s="107"/>
      <c r="D5" s="107"/>
      <c r="E5" s="107"/>
      <c r="F5" s="107"/>
      <c r="G5" s="189"/>
      <c r="H5" s="189"/>
    </row>
    <row r="6" spans="1:30" ht="15">
      <c r="A6" s="191" t="str">
        <f>HLOOKUP(INDICE!$F$2,Nombres!$C$3:$D$636,173,FALSE)</f>
        <v>Yield on Loans</v>
      </c>
      <c r="B6" s="192">
        <v>0.020139176092669714</v>
      </c>
      <c r="C6" s="192">
        <v>0.020146126826651897</v>
      </c>
      <c r="D6" s="192">
        <v>0.020133350517807777</v>
      </c>
      <c r="E6" s="192">
        <v>0.020329401047414958</v>
      </c>
      <c r="F6" s="192">
        <v>0.020353258764476648</v>
      </c>
      <c r="G6" s="192">
        <v>0.020551099349604435</v>
      </c>
      <c r="H6" s="192">
        <v>0.02045087474035144</v>
      </c>
      <c r="I6" s="281"/>
      <c r="J6" s="281"/>
      <c r="K6" s="281"/>
      <c r="L6" s="281"/>
      <c r="N6" s="193"/>
      <c r="O6" s="193"/>
      <c r="P6" s="193"/>
      <c r="Q6" s="193"/>
      <c r="R6" s="193"/>
      <c r="W6" s="193"/>
      <c r="X6" s="193"/>
      <c r="Y6" s="193"/>
      <c r="Z6" s="193"/>
      <c r="AA6" s="193"/>
      <c r="AB6" s="193"/>
      <c r="AC6" s="193"/>
      <c r="AD6" s="193"/>
    </row>
    <row r="7" spans="1:30" ht="15">
      <c r="A7" s="191" t="str">
        <f>HLOOKUP(INDICE!$F$2,Nombres!$C$3:$D$636,174,FALSE)</f>
        <v>Cost of Deposits</v>
      </c>
      <c r="B7" s="192">
        <v>-0.0006960913730502219</v>
      </c>
      <c r="C7" s="192">
        <v>-0.000705296705836201</v>
      </c>
      <c r="D7" s="192">
        <v>-0.0007942837582102309</v>
      </c>
      <c r="E7" s="192">
        <v>-0.0007991758546006626</v>
      </c>
      <c r="F7" s="192">
        <v>-0.0007079484064169193</v>
      </c>
      <c r="G7" s="192">
        <v>-0.0006129971692167433</v>
      </c>
      <c r="H7" s="192">
        <v>-0.0004684084662086657</v>
      </c>
      <c r="I7" s="281"/>
      <c r="J7" s="281"/>
      <c r="K7" s="281"/>
      <c r="L7" s="281"/>
      <c r="N7" s="193"/>
      <c r="O7" s="193"/>
      <c r="P7" s="193"/>
      <c r="Q7" s="193"/>
      <c r="R7" s="193"/>
      <c r="W7" s="193"/>
      <c r="X7" s="193"/>
      <c r="Y7" s="193"/>
      <c r="Z7" s="193"/>
      <c r="AA7" s="193"/>
      <c r="AB7" s="193"/>
      <c r="AC7" s="193"/>
      <c r="AD7" s="193"/>
    </row>
    <row r="8" spans="1:30" ht="15">
      <c r="A8" s="194" t="str">
        <f>HLOOKUP(INDICE!$F$2,Nombres!$C$3:$D$636,175,FALSE)</f>
        <v>Banking activity in Spain</v>
      </c>
      <c r="B8" s="195">
        <v>0.019443084719619492</v>
      </c>
      <c r="C8" s="195">
        <v>0.019440830120815697</v>
      </c>
      <c r="D8" s="195">
        <v>0.019339066759597547</v>
      </c>
      <c r="E8" s="195">
        <v>0.019530225192814294</v>
      </c>
      <c r="F8" s="195">
        <v>0.019645310358059727</v>
      </c>
      <c r="G8" s="195">
        <v>0.019938102180387694</v>
      </c>
      <c r="H8" s="195">
        <v>0.019982466274142775</v>
      </c>
      <c r="I8" s="281"/>
      <c r="J8" s="281"/>
      <c r="K8" s="281"/>
      <c r="L8" s="281"/>
      <c r="N8" s="193"/>
      <c r="O8" s="193"/>
      <c r="P8" s="193"/>
      <c r="Q8" s="193"/>
      <c r="R8" s="193"/>
      <c r="W8" s="193"/>
      <c r="X8" s="193"/>
      <c r="Y8" s="193"/>
      <c r="Z8" s="193"/>
      <c r="AA8" s="193"/>
      <c r="AB8" s="193"/>
      <c r="AC8" s="193"/>
      <c r="AD8" s="193"/>
    </row>
    <row r="9" spans="1:30" ht="15">
      <c r="A9" s="150"/>
      <c r="B9" s="196"/>
      <c r="C9" s="196"/>
      <c r="D9" s="196"/>
      <c r="E9" s="196"/>
      <c r="F9" s="196"/>
      <c r="G9" s="196"/>
      <c r="H9" s="196"/>
      <c r="N9" s="193"/>
      <c r="O9" s="193"/>
      <c r="P9" s="193"/>
      <c r="Q9" s="193"/>
      <c r="R9" s="193"/>
      <c r="W9" s="193"/>
      <c r="X9" s="193"/>
      <c r="Y9" s="193"/>
      <c r="Z9" s="193"/>
      <c r="AA9" s="193"/>
      <c r="AB9" s="193"/>
      <c r="AC9" s="193"/>
      <c r="AD9" s="193"/>
    </row>
    <row r="10" spans="1:30" ht="15">
      <c r="A10" s="191" t="str">
        <f>HLOOKUP(INDICE!$F$2,Nombres!$C$3:$D$636,173,FALSE)</f>
        <v>Yield on Loans</v>
      </c>
      <c r="B10" s="192">
        <v>0.043140192150107615</v>
      </c>
      <c r="C10" s="192">
        <v>0.04512203844599354</v>
      </c>
      <c r="D10" s="192">
        <v>0.04645192385461046</v>
      </c>
      <c r="E10" s="192">
        <v>0.048286820817364635</v>
      </c>
      <c r="F10" s="192">
        <v>0.050387928711691066</v>
      </c>
      <c r="G10" s="192">
        <v>0.050388555592085806</v>
      </c>
      <c r="H10" s="192">
        <v>0.049302107425794946</v>
      </c>
      <c r="I10" s="281"/>
      <c r="J10" s="281"/>
      <c r="K10" s="281"/>
      <c r="L10" s="281"/>
      <c r="N10" s="193"/>
      <c r="O10" s="193"/>
      <c r="P10" s="193"/>
      <c r="Q10" s="193"/>
      <c r="R10" s="193"/>
      <c r="W10" s="193"/>
      <c r="X10" s="193"/>
      <c r="Y10" s="193"/>
      <c r="Z10" s="193"/>
      <c r="AA10" s="193"/>
      <c r="AB10" s="193"/>
      <c r="AC10" s="193"/>
      <c r="AD10" s="193"/>
    </row>
    <row r="11" spans="1:30" ht="15">
      <c r="A11" s="191" t="str">
        <f>HLOOKUP(INDICE!$F$2,Nombres!$C$3:$D$636,174,FALSE)</f>
        <v>Cost of Deposits</v>
      </c>
      <c r="B11" s="192">
        <v>-0.004507224233386518</v>
      </c>
      <c r="C11" s="192">
        <v>-0.00538068502755062</v>
      </c>
      <c r="D11" s="192">
        <v>-0.006599496833825986</v>
      </c>
      <c r="E11" s="192">
        <v>-0.007422512880963793</v>
      </c>
      <c r="F11" s="192">
        <v>-0.008444088241841879</v>
      </c>
      <c r="G11" s="192">
        <v>-0.009633820763058118</v>
      </c>
      <c r="H11" s="192">
        <v>-0.01016193322521777</v>
      </c>
      <c r="I11" s="281"/>
      <c r="J11" s="281"/>
      <c r="K11" s="281"/>
      <c r="L11" s="281"/>
      <c r="N11" s="193"/>
      <c r="O11" s="193"/>
      <c r="P11" s="193"/>
      <c r="Q11" s="193"/>
      <c r="R11" s="193"/>
      <c r="W11" s="193"/>
      <c r="X11" s="193"/>
      <c r="Y11" s="193"/>
      <c r="Z11" s="193"/>
      <c r="AA11" s="193"/>
      <c r="AB11" s="193"/>
      <c r="AC11" s="193"/>
      <c r="AD11" s="193"/>
    </row>
    <row r="12" spans="1:30" ht="15">
      <c r="A12" s="194" t="str">
        <f>HLOOKUP(INDICE!$F$2,Nombres!$C$3:$D$636,176,FALSE)</f>
        <v>The United States (**)</v>
      </c>
      <c r="B12" s="195">
        <v>0.03863296791672109</v>
      </c>
      <c r="C12" s="195">
        <v>0.03974135341844291</v>
      </c>
      <c r="D12" s="195">
        <v>0.039852427020784474</v>
      </c>
      <c r="E12" s="195">
        <v>0.04086430793640084</v>
      </c>
      <c r="F12" s="195">
        <v>0.04194384046984918</v>
      </c>
      <c r="G12" s="195">
        <v>0.04075473482902769</v>
      </c>
      <c r="H12" s="195">
        <v>0.03914017420057718</v>
      </c>
      <c r="I12" s="281"/>
      <c r="J12" s="281"/>
      <c r="K12" s="281"/>
      <c r="L12" s="281"/>
      <c r="N12" s="193"/>
      <c r="O12" s="193"/>
      <c r="P12" s="193"/>
      <c r="Q12" s="193"/>
      <c r="R12" s="193"/>
      <c r="W12" s="193"/>
      <c r="X12" s="193"/>
      <c r="Y12" s="193"/>
      <c r="Z12" s="193"/>
      <c r="AA12" s="193"/>
      <c r="AB12" s="193"/>
      <c r="AC12" s="193"/>
      <c r="AD12" s="193"/>
    </row>
    <row r="13" spans="1:30" ht="15">
      <c r="A13" s="150"/>
      <c r="B13" s="196"/>
      <c r="C13" s="196"/>
      <c r="D13" s="196"/>
      <c r="E13" s="196"/>
      <c r="F13" s="196"/>
      <c r="G13" s="196"/>
      <c r="H13" s="196"/>
      <c r="N13" s="193"/>
      <c r="O13" s="193"/>
      <c r="P13" s="193"/>
      <c r="Q13" s="193"/>
      <c r="R13" s="193"/>
      <c r="W13" s="193"/>
      <c r="X13" s="193"/>
      <c r="Y13" s="193"/>
      <c r="Z13" s="193"/>
      <c r="AA13" s="193"/>
      <c r="AB13" s="193"/>
      <c r="AC13" s="193"/>
      <c r="AD13" s="193"/>
    </row>
    <row r="14" spans="1:30" ht="15">
      <c r="A14" s="191" t="str">
        <f>HLOOKUP(INDICE!$F$2,Nombres!$C$3:$D$636,173,FALSE)</f>
        <v>Yield on Loans</v>
      </c>
      <c r="B14" s="192">
        <v>0.14200232555648126</v>
      </c>
      <c r="C14" s="192">
        <v>0.14195093864989178</v>
      </c>
      <c r="D14" s="192">
        <v>0.14290599008175994</v>
      </c>
      <c r="E14" s="192">
        <v>0.14380192401846967</v>
      </c>
      <c r="F14" s="192">
        <v>0.14498939498770297</v>
      </c>
      <c r="G14" s="192">
        <v>0.14555500935000304</v>
      </c>
      <c r="H14" s="192">
        <v>0.14503377708489937</v>
      </c>
      <c r="I14" s="281"/>
      <c r="J14" s="281"/>
      <c r="K14" s="281"/>
      <c r="L14" s="281"/>
      <c r="N14" s="193"/>
      <c r="O14" s="193"/>
      <c r="P14" s="193"/>
      <c r="Q14" s="193"/>
      <c r="R14" s="193"/>
      <c r="W14" s="193"/>
      <c r="X14" s="193"/>
      <c r="Y14" s="193"/>
      <c r="Z14" s="193"/>
      <c r="AA14" s="193"/>
      <c r="AB14" s="193"/>
      <c r="AC14" s="193"/>
      <c r="AD14" s="193"/>
    </row>
    <row r="15" spans="1:30" ht="15">
      <c r="A15" s="191" t="str">
        <f>HLOOKUP(INDICE!$F$2,Nombres!$C$3:$D$636,174,FALSE)</f>
        <v>Cost of Deposits</v>
      </c>
      <c r="B15" s="192">
        <v>-0.021404652530349108</v>
      </c>
      <c r="C15" s="192">
        <v>-0.023020120929046494</v>
      </c>
      <c r="D15" s="192">
        <v>-0.02489742545856494</v>
      </c>
      <c r="E15" s="192">
        <v>-0.026216524501409467</v>
      </c>
      <c r="F15" s="192">
        <v>-0.02685263330249462</v>
      </c>
      <c r="G15" s="192">
        <v>-0.027501700582947562</v>
      </c>
      <c r="H15" s="192">
        <v>-0.02913650070428849</v>
      </c>
      <c r="I15" s="281"/>
      <c r="J15" s="281"/>
      <c r="K15" s="281"/>
      <c r="L15" s="281"/>
      <c r="N15" s="193"/>
      <c r="O15" s="193"/>
      <c r="P15" s="193"/>
      <c r="Q15" s="193"/>
      <c r="R15" s="193"/>
      <c r="W15" s="193"/>
      <c r="X15" s="193"/>
      <c r="Y15" s="193"/>
      <c r="Z15" s="193"/>
      <c r="AA15" s="193"/>
      <c r="AB15" s="193"/>
      <c r="AC15" s="193"/>
      <c r="AD15" s="193"/>
    </row>
    <row r="16" spans="1:30" ht="15">
      <c r="A16" s="194" t="str">
        <f>HLOOKUP(INDICE!$F$2,Nombres!$C$3:$D$636,177,FALSE)</f>
        <v>Mexico MXN</v>
      </c>
      <c r="B16" s="195">
        <v>0.12059767302613215</v>
      </c>
      <c r="C16" s="195">
        <v>0.11893081772084528</v>
      </c>
      <c r="D16" s="195">
        <v>0.11800856462319499</v>
      </c>
      <c r="E16" s="195">
        <v>0.1175853995170602</v>
      </c>
      <c r="F16" s="195">
        <v>0.11813676168520834</v>
      </c>
      <c r="G16" s="195">
        <v>0.11805330876705547</v>
      </c>
      <c r="H16" s="195">
        <v>0.11589727638061087</v>
      </c>
      <c r="I16" s="281"/>
      <c r="J16" s="281"/>
      <c r="K16" s="281"/>
      <c r="L16" s="281"/>
      <c r="N16" s="193"/>
      <c r="O16" s="193"/>
      <c r="P16" s="193"/>
      <c r="Q16" s="193"/>
      <c r="R16" s="193"/>
      <c r="W16" s="193"/>
      <c r="X16" s="193"/>
      <c r="Y16" s="193"/>
      <c r="Z16" s="193"/>
      <c r="AA16" s="193"/>
      <c r="AB16" s="193"/>
      <c r="AC16" s="193"/>
      <c r="AD16" s="193"/>
    </row>
    <row r="17" spans="1:30" ht="15">
      <c r="A17" s="150"/>
      <c r="B17" s="196"/>
      <c r="C17" s="196"/>
      <c r="D17" s="196"/>
      <c r="E17" s="196"/>
      <c r="F17" s="196"/>
      <c r="G17" s="196"/>
      <c r="H17" s="196"/>
      <c r="N17" s="193"/>
      <c r="O17" s="193"/>
      <c r="P17" s="193"/>
      <c r="Q17" s="193"/>
      <c r="R17" s="193"/>
      <c r="W17" s="193"/>
      <c r="X17" s="193"/>
      <c r="Y17" s="193"/>
      <c r="Z17" s="193"/>
      <c r="AA17" s="193"/>
      <c r="AB17" s="193"/>
      <c r="AC17" s="193"/>
      <c r="AD17" s="193"/>
    </row>
    <row r="18" spans="1:30" ht="15">
      <c r="A18" s="191" t="str">
        <f>HLOOKUP(INDICE!$F$2,Nombres!$C$3:$D$636,173,FALSE)</f>
        <v>Yield on Loans</v>
      </c>
      <c r="B18" s="196">
        <v>0.040175844367236556</v>
      </c>
      <c r="C18" s="196">
        <v>0.041968418827449325</v>
      </c>
      <c r="D18" s="196">
        <v>0.04255173775254403</v>
      </c>
      <c r="E18" s="196">
        <v>0.04464350952780109</v>
      </c>
      <c r="F18" s="196">
        <v>0.046648646094920455</v>
      </c>
      <c r="G18" s="196">
        <v>0.04614444324285154</v>
      </c>
      <c r="H18" s="196">
        <v>0.044381731410295375</v>
      </c>
      <c r="N18" s="193"/>
      <c r="O18" s="193"/>
      <c r="P18" s="193"/>
      <c r="Q18" s="193"/>
      <c r="R18" s="193"/>
      <c r="W18" s="193"/>
      <c r="X18" s="193"/>
      <c r="Y18" s="193"/>
      <c r="Z18" s="193"/>
      <c r="AA18" s="193"/>
      <c r="AB18" s="193"/>
      <c r="AC18" s="193"/>
      <c r="AD18" s="193"/>
    </row>
    <row r="19" spans="1:30" ht="15">
      <c r="A19" s="191" t="str">
        <f>HLOOKUP(INDICE!$F$2,Nombres!$C$3:$D$636,174,FALSE)</f>
        <v>Cost of Deposits</v>
      </c>
      <c r="B19" s="196">
        <v>-0.0009242727807763606</v>
      </c>
      <c r="C19" s="196">
        <v>-0.001356159008274012</v>
      </c>
      <c r="D19" s="196">
        <v>-0.0015153214008600232</v>
      </c>
      <c r="E19" s="196">
        <v>-0.0019343997417436186</v>
      </c>
      <c r="F19" s="196">
        <v>-0.002409387115802023</v>
      </c>
      <c r="G19" s="196">
        <v>-0.003076417278350444</v>
      </c>
      <c r="H19" s="196">
        <v>-0.0036005796424752445</v>
      </c>
      <c r="N19" s="193"/>
      <c r="O19" s="193"/>
      <c r="P19" s="193"/>
      <c r="Q19" s="193"/>
      <c r="R19" s="193"/>
      <c r="W19" s="193"/>
      <c r="X19" s="193"/>
      <c r="Y19" s="193"/>
      <c r="Z19" s="193"/>
      <c r="AA19" s="193"/>
      <c r="AB19" s="193"/>
      <c r="AC19" s="193"/>
      <c r="AD19" s="193"/>
    </row>
    <row r="20" spans="1:30" ht="15">
      <c r="A20" s="194" t="str">
        <f>HLOOKUP(INDICE!$F$2,Nombres!$C$3:$D$636,178,FALSE)</f>
        <v>Mexico  FC (Foreing currency)</v>
      </c>
      <c r="B20" s="197">
        <v>0.03925157158646019</v>
      </c>
      <c r="C20" s="197">
        <v>0.04061225981917531</v>
      </c>
      <c r="D20" s="197">
        <v>0.04103641635168401</v>
      </c>
      <c r="E20" s="197">
        <v>0.04270910978605747</v>
      </c>
      <c r="F20" s="197">
        <v>0.04423925897911843</v>
      </c>
      <c r="G20" s="197">
        <v>0.04306802596450109</v>
      </c>
      <c r="H20" s="197">
        <v>0.04078115176782013</v>
      </c>
      <c r="N20" s="193"/>
      <c r="O20" s="193"/>
      <c r="P20" s="193"/>
      <c r="Q20" s="193"/>
      <c r="R20" s="193"/>
      <c r="W20" s="193"/>
      <c r="X20" s="193"/>
      <c r="Y20" s="193"/>
      <c r="Z20" s="193"/>
      <c r="AA20" s="193"/>
      <c r="AB20" s="193"/>
      <c r="AC20" s="193"/>
      <c r="AD20" s="193"/>
    </row>
    <row r="21" spans="1:30" ht="15">
      <c r="A21" s="150"/>
      <c r="B21" s="196"/>
      <c r="C21" s="196"/>
      <c r="D21" s="196"/>
      <c r="E21" s="196"/>
      <c r="F21" s="196"/>
      <c r="G21" s="196"/>
      <c r="H21" s="196"/>
      <c r="N21" s="193"/>
      <c r="O21" s="193"/>
      <c r="P21" s="193"/>
      <c r="Q21" s="193"/>
      <c r="R21" s="193"/>
      <c r="W21" s="193"/>
      <c r="X21" s="193"/>
      <c r="Y21" s="193"/>
      <c r="Z21" s="193"/>
      <c r="AA21" s="193"/>
      <c r="AB21" s="193"/>
      <c r="AC21" s="193"/>
      <c r="AD21" s="193"/>
    </row>
    <row r="22" spans="1:30" ht="15">
      <c r="A22" s="191" t="str">
        <f>HLOOKUP(INDICE!$F$2,Nombres!$C$3:$D$636,173,FALSE)</f>
        <v>Yield on Loans</v>
      </c>
      <c r="B22" s="192">
        <v>0.14554577253318232</v>
      </c>
      <c r="C22" s="192">
        <v>0.1514326090585716</v>
      </c>
      <c r="D22" s="192">
        <v>0.17188405891396352</v>
      </c>
      <c r="E22" s="192">
        <v>0.18979269196969376</v>
      </c>
      <c r="F22" s="192">
        <v>0.19017727480570767</v>
      </c>
      <c r="G22" s="192">
        <v>0.19088657833660883</v>
      </c>
      <c r="H22" s="192">
        <v>0.18562904182859502</v>
      </c>
      <c r="I22" s="281"/>
      <c r="J22" s="281"/>
      <c r="K22" s="281"/>
      <c r="L22" s="281"/>
      <c r="N22" s="193"/>
      <c r="O22" s="193"/>
      <c r="P22" s="193"/>
      <c r="Q22" s="193"/>
      <c r="R22" s="193"/>
      <c r="W22" s="193"/>
      <c r="X22" s="193"/>
      <c r="Y22" s="193"/>
      <c r="Z22" s="193"/>
      <c r="AA22" s="193"/>
      <c r="AB22" s="193"/>
      <c r="AC22" s="193"/>
      <c r="AD22" s="193"/>
    </row>
    <row r="23" spans="1:30" ht="15">
      <c r="A23" s="191" t="str">
        <f>HLOOKUP(INDICE!$F$2,Nombres!$C$3:$D$636,174,FALSE)</f>
        <v>Cost of Deposits</v>
      </c>
      <c r="B23" s="192">
        <v>-0.09619437259085131</v>
      </c>
      <c r="C23" s="192">
        <v>-0.099617531776267</v>
      </c>
      <c r="D23" s="192">
        <v>-0.13170590040159544</v>
      </c>
      <c r="E23" s="192">
        <v>-0.17857751853623602</v>
      </c>
      <c r="F23" s="192">
        <v>-0.16518269688597997</v>
      </c>
      <c r="G23" s="192">
        <v>-0.16369924267697866</v>
      </c>
      <c r="H23" s="192">
        <v>-0.144607004292289</v>
      </c>
      <c r="I23" s="281"/>
      <c r="J23" s="281"/>
      <c r="K23" s="281"/>
      <c r="L23" s="281"/>
      <c r="N23" s="193"/>
      <c r="O23" s="193"/>
      <c r="P23" s="193"/>
      <c r="Q23" s="193"/>
      <c r="R23" s="193"/>
      <c r="W23" s="193"/>
      <c r="X23" s="193"/>
      <c r="Y23" s="193"/>
      <c r="Z23" s="193"/>
      <c r="AA23" s="193"/>
      <c r="AB23" s="193"/>
      <c r="AC23" s="193"/>
      <c r="AD23" s="193"/>
    </row>
    <row r="24" spans="1:30" ht="15">
      <c r="A24" s="194" t="str">
        <f>HLOOKUP(INDICE!$F$2,Nombres!$C$3:$D$636,179,FALSE)</f>
        <v>Turkey TRY</v>
      </c>
      <c r="B24" s="195">
        <v>0.04935139994233101</v>
      </c>
      <c r="C24" s="195">
        <v>0.05181507728230457</v>
      </c>
      <c r="D24" s="195">
        <v>0.0401781585123681</v>
      </c>
      <c r="E24" s="195">
        <v>0.011215173433457758</v>
      </c>
      <c r="F24" s="195">
        <v>0.0249945779197277</v>
      </c>
      <c r="G24" s="195">
        <v>0.027187335659630163</v>
      </c>
      <c r="H24" s="195">
        <v>0.04102203753630601</v>
      </c>
      <c r="I24" s="281"/>
      <c r="J24" s="281"/>
      <c r="K24" s="281"/>
      <c r="L24" s="281"/>
      <c r="N24" s="193"/>
      <c r="O24" s="193"/>
      <c r="P24" s="193"/>
      <c r="Q24" s="193"/>
      <c r="R24" s="193"/>
      <c r="W24" s="193"/>
      <c r="X24" s="193"/>
      <c r="Y24" s="193"/>
      <c r="Z24" s="193"/>
      <c r="AA24" s="193"/>
      <c r="AB24" s="193"/>
      <c r="AC24" s="193"/>
      <c r="AD24" s="193"/>
    </row>
    <row r="25" spans="1:30" ht="15">
      <c r="A25" s="194"/>
      <c r="B25" s="195"/>
      <c r="C25" s="195"/>
      <c r="D25" s="195"/>
      <c r="E25" s="195"/>
      <c r="F25" s="195"/>
      <c r="G25" s="195"/>
      <c r="H25" s="195"/>
      <c r="I25" s="281"/>
      <c r="J25" s="281"/>
      <c r="K25" s="281"/>
      <c r="L25" s="281"/>
      <c r="N25" s="193"/>
      <c r="O25" s="193"/>
      <c r="P25" s="193"/>
      <c r="Q25" s="193"/>
      <c r="R25" s="193"/>
      <c r="W25" s="193"/>
      <c r="X25" s="193"/>
      <c r="Y25" s="193"/>
      <c r="Z25" s="193"/>
      <c r="AA25" s="193"/>
      <c r="AB25" s="193"/>
      <c r="AC25" s="193"/>
      <c r="AD25" s="193"/>
    </row>
    <row r="26" spans="1:30" ht="15">
      <c r="A26" s="191" t="str">
        <f>HLOOKUP(INDICE!$F$2,Nombres!$C$3:$D$636,173,FALSE)</f>
        <v>Yield on Loans</v>
      </c>
      <c r="B26" s="198">
        <v>0.06452623971101738</v>
      </c>
      <c r="C26" s="198">
        <v>0.06789755200418211</v>
      </c>
      <c r="D26" s="198">
        <v>0.07088285203925823</v>
      </c>
      <c r="E26" s="198">
        <v>0.07477987335585959</v>
      </c>
      <c r="F26" s="198">
        <v>0.07468097349664432</v>
      </c>
      <c r="G26" s="198">
        <v>0.07302623956024035</v>
      </c>
      <c r="H26" s="198">
        <v>0.07038642728373758</v>
      </c>
      <c r="I26" s="281"/>
      <c r="J26" s="281"/>
      <c r="K26" s="281"/>
      <c r="L26" s="281"/>
      <c r="N26" s="193"/>
      <c r="O26" s="193"/>
      <c r="P26" s="193"/>
      <c r="Q26" s="193"/>
      <c r="R26" s="193"/>
      <c r="W26" s="193"/>
      <c r="X26" s="193"/>
      <c r="Y26" s="193"/>
      <c r="Z26" s="193"/>
      <c r="AA26" s="193"/>
      <c r="AB26" s="193"/>
      <c r="AC26" s="193"/>
      <c r="AD26" s="193"/>
    </row>
    <row r="27" spans="1:30" ht="15">
      <c r="A27" s="191" t="str">
        <f>HLOOKUP(INDICE!$F$2,Nombres!$C$3:$D$636,174,FALSE)</f>
        <v>Cost of Deposits</v>
      </c>
      <c r="B27" s="198">
        <v>-0.022898271597928347</v>
      </c>
      <c r="C27" s="198">
        <v>-0.02353825531809533</v>
      </c>
      <c r="D27" s="198">
        <v>-0.026152993463748837</v>
      </c>
      <c r="E27" s="198">
        <v>-0.03128782761871164</v>
      </c>
      <c r="F27" s="198">
        <v>-0.025179314777140912</v>
      </c>
      <c r="G27" s="198">
        <v>-0.02130771023550386</v>
      </c>
      <c r="H27" s="198">
        <v>-0.017862961977656844</v>
      </c>
      <c r="I27" s="281"/>
      <c r="J27" s="281"/>
      <c r="K27" s="281"/>
      <c r="L27" s="281"/>
      <c r="N27" s="193"/>
      <c r="O27" s="193"/>
      <c r="P27" s="193"/>
      <c r="Q27" s="193"/>
      <c r="R27" s="193"/>
      <c r="W27" s="193"/>
      <c r="X27" s="193"/>
      <c r="Y27" s="193"/>
      <c r="Z27" s="193"/>
      <c r="AA27" s="193"/>
      <c r="AB27" s="193"/>
      <c r="AC27" s="193"/>
      <c r="AD27" s="193"/>
    </row>
    <row r="28" spans="1:30" ht="15">
      <c r="A28" s="194" t="str">
        <f>HLOOKUP(INDICE!$F$2,Nombres!$C$3:$D$636,180,FALSE)</f>
        <v>Turkey FC (Foreing currency)</v>
      </c>
      <c r="B28" s="195">
        <v>0.04162796811308904</v>
      </c>
      <c r="C28" s="195">
        <v>0.044359296686086784</v>
      </c>
      <c r="D28" s="195">
        <v>0.044729858575509394</v>
      </c>
      <c r="E28" s="195">
        <v>0.043492045737147954</v>
      </c>
      <c r="F28" s="195">
        <v>0.049501658719503405</v>
      </c>
      <c r="G28" s="195">
        <v>0.05171852932473649</v>
      </c>
      <c r="H28" s="195">
        <v>0.052523465306080735</v>
      </c>
      <c r="I28" s="281"/>
      <c r="J28" s="281"/>
      <c r="K28" s="281"/>
      <c r="L28" s="281"/>
      <c r="N28" s="193"/>
      <c r="O28" s="193"/>
      <c r="P28" s="193"/>
      <c r="Q28" s="193"/>
      <c r="R28" s="193"/>
      <c r="W28" s="193"/>
      <c r="X28" s="193"/>
      <c r="Y28" s="193"/>
      <c r="Z28" s="193"/>
      <c r="AA28" s="193"/>
      <c r="AB28" s="193"/>
      <c r="AC28" s="193"/>
      <c r="AD28" s="193"/>
    </row>
    <row r="29" spans="1:30" ht="15">
      <c r="A29" s="150"/>
      <c r="B29" s="196"/>
      <c r="C29" s="196"/>
      <c r="D29" s="196"/>
      <c r="E29" s="196"/>
      <c r="F29" s="196"/>
      <c r="G29" s="196"/>
      <c r="H29" s="196"/>
      <c r="N29" s="193"/>
      <c r="O29" s="193"/>
      <c r="P29" s="193"/>
      <c r="Q29" s="193"/>
      <c r="R29" s="193"/>
      <c r="W29" s="193"/>
      <c r="X29" s="193"/>
      <c r="Y29" s="193"/>
      <c r="Z29" s="193"/>
      <c r="AA29" s="193"/>
      <c r="AB29" s="193"/>
      <c r="AC29" s="193"/>
      <c r="AD29" s="193"/>
    </row>
    <row r="30" spans="1:30" ht="15">
      <c r="A30" s="191" t="str">
        <f>HLOOKUP(INDICE!$F$2,Nombres!$C$3:$D$636,173,FALSE)</f>
        <v>Yield on Loans</v>
      </c>
      <c r="B30" s="192">
        <v>0.19287058493680043</v>
      </c>
      <c r="C30" s="192">
        <v>0.2071657415905105</v>
      </c>
      <c r="D30" s="192">
        <v>0.23997530225748073</v>
      </c>
      <c r="E30" s="192">
        <v>0.2908547514205928</v>
      </c>
      <c r="F30" s="192">
        <v>0.28504103189696145</v>
      </c>
      <c r="G30" s="192">
        <v>0.2927070159869264</v>
      </c>
      <c r="H30" s="192">
        <v>0.2936044746786395</v>
      </c>
      <c r="I30" s="281"/>
      <c r="J30" s="281"/>
      <c r="K30" s="281"/>
      <c r="L30" s="281"/>
      <c r="N30" s="193"/>
      <c r="O30" s="193"/>
      <c r="P30" s="193"/>
      <c r="Q30" s="193"/>
      <c r="R30" s="193"/>
      <c r="W30" s="193"/>
      <c r="X30" s="193"/>
      <c r="Y30" s="193"/>
      <c r="Z30" s="193"/>
      <c r="AA30" s="193"/>
      <c r="AB30" s="193"/>
      <c r="AC30" s="193"/>
      <c r="AD30" s="193"/>
    </row>
    <row r="31" spans="1:30" ht="15">
      <c r="A31" s="191" t="str">
        <f>HLOOKUP(INDICE!$F$2,Nombres!$C$3:$D$636,174,FALSE)</f>
        <v>Cost of Deposits</v>
      </c>
      <c r="B31" s="192">
        <v>-0.06589099006588217</v>
      </c>
      <c r="C31" s="192">
        <v>-0.07426063789854875</v>
      </c>
      <c r="D31" s="192">
        <v>-0.0984612442216059</v>
      </c>
      <c r="E31" s="192">
        <v>-0.14369624820000265</v>
      </c>
      <c r="F31" s="192">
        <v>-0.12525660668056623</v>
      </c>
      <c r="G31" s="192">
        <v>-0.13023559460080653</v>
      </c>
      <c r="H31" s="192">
        <v>-0.1306487092753034</v>
      </c>
      <c r="I31" s="281"/>
      <c r="J31" s="281"/>
      <c r="K31" s="281"/>
      <c r="L31" s="281"/>
      <c r="N31" s="193"/>
      <c r="O31" s="193"/>
      <c r="P31" s="193"/>
      <c r="Q31" s="193"/>
      <c r="R31" s="193"/>
      <c r="W31" s="193"/>
      <c r="X31" s="193"/>
      <c r="Y31" s="193"/>
      <c r="Z31" s="193"/>
      <c r="AA31" s="193"/>
      <c r="AB31" s="193"/>
      <c r="AC31" s="193"/>
      <c r="AD31" s="193"/>
    </row>
    <row r="32" spans="1:30" ht="15">
      <c r="A32" s="194" t="str">
        <f>HLOOKUP(INDICE!$F$2,Nombres!$C$3:$D$636,181,FALSE)</f>
        <v>Argentina</v>
      </c>
      <c r="B32" s="199">
        <v>0.12697959487091826</v>
      </c>
      <c r="C32" s="199">
        <v>0.13290510369196173</v>
      </c>
      <c r="D32" s="199">
        <v>0.14151405803587483</v>
      </c>
      <c r="E32" s="199">
        <v>0.14715850322059015</v>
      </c>
      <c r="F32" s="199">
        <v>0.15978442521639522</v>
      </c>
      <c r="G32" s="199">
        <v>0.16247142138611986</v>
      </c>
      <c r="H32" s="199">
        <v>0.1629557654033361</v>
      </c>
      <c r="I32" s="281"/>
      <c r="J32" s="281"/>
      <c r="K32" s="281"/>
      <c r="L32" s="281"/>
      <c r="N32" s="193"/>
      <c r="O32" s="193"/>
      <c r="P32" s="193"/>
      <c r="Q32" s="193"/>
      <c r="R32" s="193"/>
      <c r="W32" s="193"/>
      <c r="X32" s="193"/>
      <c r="Y32" s="193"/>
      <c r="Z32" s="193"/>
      <c r="AA32" s="193"/>
      <c r="AB32" s="193"/>
      <c r="AC32" s="193"/>
      <c r="AD32" s="193"/>
    </row>
    <row r="33" spans="1:30" ht="15">
      <c r="A33" s="150"/>
      <c r="B33" s="196"/>
      <c r="C33" s="196"/>
      <c r="D33" s="196"/>
      <c r="E33" s="196"/>
      <c r="F33" s="196"/>
      <c r="G33" s="196"/>
      <c r="H33" s="196"/>
      <c r="N33" s="193"/>
      <c r="O33" s="193"/>
      <c r="P33" s="193"/>
      <c r="Q33" s="193"/>
      <c r="R33" s="193"/>
      <c r="W33" s="193"/>
      <c r="X33" s="193"/>
      <c r="Y33" s="193"/>
      <c r="Z33" s="193"/>
      <c r="AA33" s="193"/>
      <c r="AB33" s="193"/>
      <c r="AC33" s="193"/>
      <c r="AD33" s="193"/>
    </row>
    <row r="34" spans="1:30" ht="15">
      <c r="A34" s="191" t="str">
        <f>HLOOKUP(INDICE!$F$2,Nombres!$C$3:$D$636,173,FALSE)</f>
        <v>Yield on Loans</v>
      </c>
      <c r="B34" s="192">
        <v>0.11313129929927329</v>
      </c>
      <c r="C34" s="192">
        <v>0.11217879190283801</v>
      </c>
      <c r="D34" s="192">
        <v>0.10985605664820579</v>
      </c>
      <c r="E34" s="192">
        <v>0.11069456164430537</v>
      </c>
      <c r="F34" s="192">
        <v>0.1089627806404097</v>
      </c>
      <c r="G34" s="192">
        <v>0.10877566846312808</v>
      </c>
      <c r="H34" s="192">
        <v>0.10820642181563203</v>
      </c>
      <c r="I34" s="281"/>
      <c r="J34" s="281"/>
      <c r="K34" s="281"/>
      <c r="L34" s="281"/>
      <c r="N34" s="193"/>
      <c r="O34" s="193"/>
      <c r="P34" s="193"/>
      <c r="Q34" s="193"/>
      <c r="R34" s="193"/>
      <c r="W34" s="193"/>
      <c r="X34" s="193"/>
      <c r="Y34" s="193"/>
      <c r="Z34" s="193"/>
      <c r="AA34" s="193"/>
      <c r="AB34" s="193"/>
      <c r="AC34" s="193"/>
      <c r="AD34" s="193"/>
    </row>
    <row r="35" spans="1:30" ht="15">
      <c r="A35" s="191" t="str">
        <f>HLOOKUP(INDICE!$F$2,Nombres!$C$3:$D$636,174,FALSE)</f>
        <v>Cost of Deposits</v>
      </c>
      <c r="B35" s="192">
        <v>-0.045979262866492204</v>
      </c>
      <c r="C35" s="192">
        <v>-0.044322978819227324</v>
      </c>
      <c r="D35" s="192">
        <v>-0.04205570647770007</v>
      </c>
      <c r="E35" s="192">
        <v>-0.04159688196699892</v>
      </c>
      <c r="F35" s="192">
        <v>-0.041348850652115</v>
      </c>
      <c r="G35" s="192">
        <v>-0.04089258146462727</v>
      </c>
      <c r="H35" s="192">
        <v>-0.04183714919583777</v>
      </c>
      <c r="I35" s="281"/>
      <c r="J35" s="281"/>
      <c r="K35" s="281"/>
      <c r="L35" s="281"/>
      <c r="N35" s="193"/>
      <c r="O35" s="193"/>
      <c r="P35" s="193"/>
      <c r="Q35" s="193"/>
      <c r="R35" s="193"/>
      <c r="W35" s="193"/>
      <c r="X35" s="193"/>
      <c r="Y35" s="193"/>
      <c r="Z35" s="193"/>
      <c r="AA35" s="193"/>
      <c r="AB35" s="193"/>
      <c r="AC35" s="193"/>
      <c r="AD35" s="193"/>
    </row>
    <row r="36" spans="1:30" ht="15">
      <c r="A36" s="194" t="str">
        <f>HLOOKUP(INDICE!$F$2,Nombres!$C$3:$D$636,182,FALSE)</f>
        <v>Colombia</v>
      </c>
      <c r="B36" s="195">
        <v>0.06715203643278109</v>
      </c>
      <c r="C36" s="195">
        <v>0.06785581308361069</v>
      </c>
      <c r="D36" s="195">
        <v>0.06780035017050572</v>
      </c>
      <c r="E36" s="195">
        <v>0.06909767967730646</v>
      </c>
      <c r="F36" s="195">
        <v>0.06761392998829471</v>
      </c>
      <c r="G36" s="195">
        <v>0.06788308699850082</v>
      </c>
      <c r="H36" s="195">
        <v>0.06636927261979426</v>
      </c>
      <c r="I36" s="281"/>
      <c r="J36" s="281"/>
      <c r="K36" s="281"/>
      <c r="L36" s="281"/>
      <c r="N36" s="193"/>
      <c r="O36" s="193"/>
      <c r="P36" s="193"/>
      <c r="Q36" s="193"/>
      <c r="R36" s="193"/>
      <c r="W36" s="193"/>
      <c r="X36" s="193"/>
      <c r="Y36" s="193"/>
      <c r="Z36" s="193"/>
      <c r="AA36" s="193"/>
      <c r="AB36" s="193"/>
      <c r="AC36" s="193"/>
      <c r="AD36" s="193"/>
    </row>
    <row r="37" spans="1:30" ht="15">
      <c r="A37" s="150"/>
      <c r="B37" s="196"/>
      <c r="C37" s="196"/>
      <c r="D37" s="196"/>
      <c r="E37" s="196"/>
      <c r="F37" s="196"/>
      <c r="G37" s="196"/>
      <c r="H37" s="196"/>
      <c r="N37" s="193"/>
      <c r="O37" s="193"/>
      <c r="P37" s="193"/>
      <c r="Q37" s="193"/>
      <c r="R37" s="193"/>
      <c r="W37" s="193"/>
      <c r="X37" s="193"/>
      <c r="Y37" s="193"/>
      <c r="Z37" s="193"/>
      <c r="AA37" s="193"/>
      <c r="AB37" s="193"/>
      <c r="AC37" s="193"/>
      <c r="AD37" s="193"/>
    </row>
    <row r="38" spans="1:30" ht="15">
      <c r="A38" s="191" t="str">
        <f>HLOOKUP(INDICE!$F$2,Nombres!$C$3:$D$636,173,FALSE)</f>
        <v>Yield on Loans</v>
      </c>
      <c r="B38" s="192">
        <v>0.07918122873714728</v>
      </c>
      <c r="C38" s="192">
        <v>0.0783927954294053</v>
      </c>
      <c r="D38" s="192">
        <v>0.07837807578719011</v>
      </c>
      <c r="E38" s="192">
        <v>0.07889213609214633</v>
      </c>
      <c r="F38" s="192">
        <v>0.07893505295600035</v>
      </c>
      <c r="G38" s="192">
        <v>0.07849548479212574</v>
      </c>
      <c r="H38" s="192">
        <v>0.07783019900355526</v>
      </c>
      <c r="I38" s="281"/>
      <c r="J38" s="281"/>
      <c r="K38" s="281"/>
      <c r="L38" s="281"/>
      <c r="N38" s="193"/>
      <c r="O38" s="193"/>
      <c r="P38" s="193"/>
      <c r="Q38" s="193"/>
      <c r="R38" s="193"/>
      <c r="W38" s="193"/>
      <c r="X38" s="193"/>
      <c r="Y38" s="193"/>
      <c r="Z38" s="193"/>
      <c r="AA38" s="193"/>
      <c r="AB38" s="193"/>
      <c r="AC38" s="193"/>
      <c r="AD38" s="193"/>
    </row>
    <row r="39" spans="1:30" ht="15">
      <c r="A39" s="191" t="str">
        <f>HLOOKUP(INDICE!$F$2,Nombres!$C$3:$D$636,174,FALSE)</f>
        <v>Cost of Deposits</v>
      </c>
      <c r="B39" s="192">
        <v>-0.011700318618599175</v>
      </c>
      <c r="C39" s="192">
        <v>-0.010911456358656268</v>
      </c>
      <c r="D39" s="192">
        <v>-0.01135349421755884</v>
      </c>
      <c r="E39" s="192">
        <v>-0.012029152948960094</v>
      </c>
      <c r="F39" s="192">
        <v>-0.012696981868987054</v>
      </c>
      <c r="G39" s="192">
        <v>-0.014012516285399434</v>
      </c>
      <c r="H39" s="192">
        <v>-0.014538669131027512</v>
      </c>
      <c r="I39" s="281"/>
      <c r="J39" s="281"/>
      <c r="K39" s="281"/>
      <c r="L39" s="281"/>
      <c r="N39" s="193"/>
      <c r="O39" s="193"/>
      <c r="P39" s="193"/>
      <c r="Q39" s="193"/>
      <c r="R39" s="193"/>
      <c r="W39" s="193"/>
      <c r="X39" s="193"/>
      <c r="Y39" s="193"/>
      <c r="Z39" s="193"/>
      <c r="AA39" s="193"/>
      <c r="AB39" s="193"/>
      <c r="AC39" s="193"/>
      <c r="AD39" s="193"/>
    </row>
    <row r="40" spans="1:30" ht="15">
      <c r="A40" s="194" t="str">
        <f>HLOOKUP(INDICE!$F$2,Nombres!$C$3:$D$636,183,FALSE)</f>
        <v>Peru</v>
      </c>
      <c r="B40" s="195">
        <v>0.06748091011854811</v>
      </c>
      <c r="C40" s="195">
        <v>0.06748133907074903</v>
      </c>
      <c r="D40" s="195">
        <v>0.06702458156963127</v>
      </c>
      <c r="E40" s="195">
        <v>0.06686298314318624</v>
      </c>
      <c r="F40" s="195">
        <v>0.0662380710870133</v>
      </c>
      <c r="G40" s="195">
        <v>0.06448296850672632</v>
      </c>
      <c r="H40" s="195">
        <v>0.06329152987252774</v>
      </c>
      <c r="I40" s="281"/>
      <c r="J40" s="281"/>
      <c r="K40" s="281"/>
      <c r="L40" s="281"/>
      <c r="N40" s="193"/>
      <c r="O40" s="193"/>
      <c r="P40" s="193"/>
      <c r="Q40" s="193"/>
      <c r="R40" s="193"/>
      <c r="W40" s="193"/>
      <c r="X40" s="193"/>
      <c r="Y40" s="193"/>
      <c r="Z40" s="193"/>
      <c r="AA40" s="193"/>
      <c r="AB40" s="193"/>
      <c r="AC40" s="193"/>
      <c r="AD40" s="193"/>
    </row>
    <row r="41" spans="1:18" ht="15">
      <c r="A41" s="150"/>
      <c r="B41" s="196"/>
      <c r="C41" s="196"/>
      <c r="D41" s="196"/>
      <c r="E41" s="196"/>
      <c r="F41" s="196"/>
      <c r="G41" s="196"/>
      <c r="H41" s="196"/>
      <c r="N41" s="193"/>
      <c r="O41" s="193"/>
      <c r="P41" s="193"/>
      <c r="Q41" s="193"/>
      <c r="R41" s="193"/>
    </row>
    <row r="42" spans="1:8" ht="15">
      <c r="A42" s="200" t="str">
        <f>HLOOKUP(INDICE!$F$2,Nombres!$C$3:$D$636,184,FALSE)</f>
        <v>(*) Difference between lending yield on loans and cost of deposits from customers.</v>
      </c>
      <c r="B42" s="189"/>
      <c r="C42" s="189"/>
      <c r="D42" s="189"/>
      <c r="E42" s="189"/>
      <c r="F42" s="295"/>
      <c r="G42" s="295"/>
      <c r="H42" s="189"/>
    </row>
    <row r="43" spans="1:8" ht="15">
      <c r="A43" s="200" t="str">
        <f>HLOOKUP(INDICE!$F$2,Nombres!$C$3:$D$636,185,FALSE)</f>
        <v>(**) Excluding New York Business Activity.</v>
      </c>
      <c r="B43" s="189"/>
      <c r="C43" s="189"/>
      <c r="D43" s="189"/>
      <c r="E43" s="189"/>
      <c r="F43" s="189"/>
      <c r="G43" s="189"/>
      <c r="H43" s="189"/>
    </row>
    <row r="44" ht="15">
      <c r="A44" s="200" t="str">
        <f>HLOOKUP(INDICE!$F$2,Nombres!$C$3:$D$636,186,FALSE)</f>
        <v>Note: Customer spreads have been restated.</v>
      </c>
    </row>
    <row r="1000" ht="15">
      <c r="A1000" t="s">
        <v>406</v>
      </c>
    </row>
  </sheetData>
  <sheetProtection/>
  <mergeCells count="3">
    <mergeCell ref="B3:E3"/>
    <mergeCell ref="F42:G42"/>
    <mergeCell ref="F3:H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2" sqref="A2"/>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9" width="11.421875" style="0" customWidth="1"/>
    <col min="10" max="11" width="14.7109375" style="0" bestFit="1" customWidth="1"/>
  </cols>
  <sheetData>
    <row r="1" spans="1:8" ht="18">
      <c r="A1" s="100" t="str">
        <f>HLOOKUP(INDICE!$F$2,Nombres!$C$3:$D$636,88,FALSE)</f>
        <v>Risk-weighted assets. Breakdown by business areas and main countries</v>
      </c>
      <c r="B1" s="161"/>
      <c r="C1" s="161"/>
      <c r="D1" s="162"/>
      <c r="E1" s="162"/>
      <c r="F1" s="162"/>
      <c r="G1" s="162"/>
      <c r="H1" s="162"/>
    </row>
    <row r="2" spans="1:8" ht="15">
      <c r="A2" s="169" t="str">
        <f>HLOOKUP(INDICE!$F$2,Nombres!$C$3:$D$636,32,FALSE)</f>
        <v>(Million euros)</v>
      </c>
      <c r="B2" s="60"/>
      <c r="C2" s="60"/>
      <c r="D2" s="201"/>
      <c r="E2" s="201"/>
      <c r="F2" s="201"/>
      <c r="G2" s="201"/>
      <c r="H2" s="201"/>
    </row>
    <row r="3" spans="1:8" ht="15">
      <c r="A3" s="202"/>
      <c r="B3" s="60"/>
      <c r="C3" s="60"/>
      <c r="D3" s="165"/>
      <c r="E3" s="165"/>
      <c r="F3" s="165"/>
      <c r="G3" s="165"/>
      <c r="H3" s="165"/>
    </row>
    <row r="4" spans="1:8" ht="15.75" customHeight="1">
      <c r="A4" s="203"/>
      <c r="B4" s="296" t="s">
        <v>373</v>
      </c>
      <c r="C4" s="296"/>
      <c r="D4" s="296"/>
      <c r="E4" s="296"/>
      <c r="F4" s="296"/>
      <c r="G4" s="296"/>
      <c r="H4" s="296"/>
    </row>
    <row r="5" spans="1:10" ht="15.75">
      <c r="A5" s="203"/>
      <c r="B5" s="204">
        <f>+España!B30</f>
        <v>43190</v>
      </c>
      <c r="C5" s="204">
        <f>+España!C30</f>
        <v>43281</v>
      </c>
      <c r="D5" s="204">
        <f>+España!D30</f>
        <v>43373</v>
      </c>
      <c r="E5" s="204">
        <f>+España!E30</f>
        <v>43465</v>
      </c>
      <c r="F5" s="204">
        <f>+España!F30</f>
        <v>43555</v>
      </c>
      <c r="G5" s="204">
        <f>+España!G30</f>
        <v>43646</v>
      </c>
      <c r="H5" s="204">
        <f>+España!H30</f>
        <v>43738</v>
      </c>
      <c r="J5" s="205"/>
    </row>
    <row r="6" spans="1:11" ht="15">
      <c r="A6" s="109" t="str">
        <f>HLOOKUP(INDICE!$F$2,Nombres!$C$3:$D$636,3,FALSE)</f>
        <v>BBVA Group</v>
      </c>
      <c r="B6" s="206">
        <v>358315</v>
      </c>
      <c r="C6" s="206">
        <v>357107</v>
      </c>
      <c r="D6" s="206">
        <v>343271.21099997003</v>
      </c>
      <c r="E6" s="206">
        <v>348804.49749886995</v>
      </c>
      <c r="F6" s="206">
        <v>361172.82599334087</v>
      </c>
      <c r="G6" s="206">
        <v>360563.4610000299</v>
      </c>
      <c r="H6" s="206">
        <v>368630.23074080836</v>
      </c>
      <c r="J6" s="207"/>
      <c r="K6" s="208"/>
    </row>
    <row r="7" spans="1:11" ht="15">
      <c r="A7" s="61" t="str">
        <f>HLOOKUP(INDICE!$F$2,Nombres!$C$3:$D$636,7,FALSE)</f>
        <v>Spain</v>
      </c>
      <c r="B7" s="44">
        <v>109746.43737697</v>
      </c>
      <c r="C7" s="44">
        <v>108069.78890755998</v>
      </c>
      <c r="D7" s="44">
        <v>107990.07372943999</v>
      </c>
      <c r="E7" s="44">
        <v>104113.26340615</v>
      </c>
      <c r="F7" s="44">
        <v>107581.10528187001</v>
      </c>
      <c r="G7" s="44">
        <v>107284.71581372998</v>
      </c>
      <c r="H7" s="44">
        <v>105866.42993338</v>
      </c>
      <c r="J7" s="207"/>
      <c r="K7" s="208"/>
    </row>
    <row r="8" spans="1:11" ht="15">
      <c r="A8" s="61" t="str">
        <f>HLOOKUP(INDICE!$F$2,Nombres!$C$3:$D$636,10,FALSE)</f>
        <v>USA</v>
      </c>
      <c r="B8" s="44">
        <v>57265.60901435</v>
      </c>
      <c r="C8" s="44">
        <v>61453.80723846001</v>
      </c>
      <c r="D8" s="44">
        <v>62720.58211572001</v>
      </c>
      <c r="E8" s="44">
        <v>64175.25526802</v>
      </c>
      <c r="F8" s="44">
        <v>65216.61492800999</v>
      </c>
      <c r="G8" s="44">
        <v>62383.25559174</v>
      </c>
      <c r="H8" s="44">
        <v>65901.90966341001</v>
      </c>
      <c r="J8" s="207"/>
      <c r="K8" s="208"/>
    </row>
    <row r="9" spans="1:11" ht="15">
      <c r="A9" s="61" t="str">
        <f>HLOOKUP(INDICE!$F$2,Nombres!$C$3:$D$636,11,FALSE)</f>
        <v>Mexico</v>
      </c>
      <c r="B9" s="44">
        <v>47715.43925727</v>
      </c>
      <c r="C9" s="44">
        <v>50648.284846350005</v>
      </c>
      <c r="D9" s="44">
        <v>54497.57373872</v>
      </c>
      <c r="E9" s="44">
        <v>53176.76411678</v>
      </c>
      <c r="F9" s="44">
        <v>54831.19951235999</v>
      </c>
      <c r="G9" s="44">
        <v>55918.63351755</v>
      </c>
      <c r="H9" s="44">
        <v>57453.72837062999</v>
      </c>
      <c r="J9" s="207"/>
      <c r="K9" s="208"/>
    </row>
    <row r="10" spans="1:11" ht="15">
      <c r="A10" s="61" t="str">
        <f>HLOOKUP(INDICE!$F$2,Nombres!$C$3:$D$636,12,FALSE)</f>
        <v>Turkey </v>
      </c>
      <c r="B10" s="44">
        <v>60903.657199</v>
      </c>
      <c r="C10" s="44">
        <v>58770.429000000004</v>
      </c>
      <c r="D10" s="44">
        <v>52822.007</v>
      </c>
      <c r="E10" s="44">
        <v>56486.38402669001</v>
      </c>
      <c r="F10" s="44">
        <v>58526.021</v>
      </c>
      <c r="G10" s="44">
        <v>57550.859</v>
      </c>
      <c r="H10" s="44">
        <v>58520.61499999999</v>
      </c>
      <c r="J10" s="207"/>
      <c r="K10" s="208"/>
    </row>
    <row r="11" spans="1:11" ht="15">
      <c r="A11" s="61" t="str">
        <f>HLOOKUP(INDICE!$F$2,Nombres!$C$3:$D$636,13,FALSE)</f>
        <v>South America</v>
      </c>
      <c r="B11" s="44">
        <v>55731.64647656001</v>
      </c>
      <c r="C11" s="44">
        <v>55154.71180540001</v>
      </c>
      <c r="D11" s="44">
        <v>41578.09704145</v>
      </c>
      <c r="E11" s="44">
        <v>42723.584994250006</v>
      </c>
      <c r="F11" s="44">
        <v>44970.242165469994</v>
      </c>
      <c r="G11" s="44">
        <v>43995.12974496999</v>
      </c>
      <c r="H11" s="44">
        <v>45283.813445730004</v>
      </c>
      <c r="J11" s="207"/>
      <c r="K11" s="208"/>
    </row>
    <row r="12" spans="1:11" ht="15">
      <c r="A12" s="209" t="str">
        <f>HLOOKUP(INDICE!$F$2,Nombres!$C$3:$D$636,14,FALSE)</f>
        <v>Argentina</v>
      </c>
      <c r="B12" s="44">
        <v>8681.945295000001</v>
      </c>
      <c r="C12" s="44">
        <v>7914.303000000002</v>
      </c>
      <c r="D12" s="44">
        <v>7020.528999999999</v>
      </c>
      <c r="E12" s="44">
        <v>8036.43650064</v>
      </c>
      <c r="F12" s="44">
        <v>7963.3332040000005</v>
      </c>
      <c r="G12" s="44">
        <v>6434.688216479999</v>
      </c>
      <c r="H12" s="44">
        <v>6070.40200074</v>
      </c>
      <c r="J12" s="207"/>
      <c r="K12" s="208"/>
    </row>
    <row r="13" spans="1:11" ht="15">
      <c r="A13" s="209" t="str">
        <f>HLOOKUP(INDICE!$F$2,Nombres!$C$3:$D$636,15,FALSE)</f>
        <v>Chile</v>
      </c>
      <c r="B13" s="44">
        <v>14681.04369465</v>
      </c>
      <c r="C13" s="44">
        <v>14818.880717290001</v>
      </c>
      <c r="D13" s="44">
        <v>2118.9981815300002</v>
      </c>
      <c r="E13" s="44">
        <v>2243.2030071399995</v>
      </c>
      <c r="F13" s="44">
        <v>2361.031</v>
      </c>
      <c r="G13" s="44">
        <v>2268.095</v>
      </c>
      <c r="H13" s="44">
        <v>2247.5370000000003</v>
      </c>
      <c r="J13" s="207"/>
      <c r="K13" s="208"/>
    </row>
    <row r="14" spans="1:11" ht="15">
      <c r="A14" s="209" t="str">
        <f>HLOOKUP(INDICE!$F$2,Nombres!$C$3:$D$636,16,FALSE)</f>
        <v>Colombia</v>
      </c>
      <c r="B14" s="44">
        <v>12973.685412490002</v>
      </c>
      <c r="C14" s="44">
        <v>12982.57609274</v>
      </c>
      <c r="D14" s="44">
        <v>13247.878054019999</v>
      </c>
      <c r="E14" s="44">
        <v>12680.485499460001</v>
      </c>
      <c r="F14" s="44">
        <v>13671.30359109</v>
      </c>
      <c r="G14" s="44">
        <v>13777.74060688</v>
      </c>
      <c r="H14" s="44">
        <v>14051.3617015</v>
      </c>
      <c r="J14" s="207"/>
      <c r="K14" s="208"/>
    </row>
    <row r="15" spans="1:11" ht="15">
      <c r="A15" s="209" t="str">
        <f>HLOOKUP(INDICE!$F$2,Nombres!$C$3:$D$636,17,FALSE)</f>
        <v>Peru</v>
      </c>
      <c r="B15" s="44">
        <v>14617.84737267</v>
      </c>
      <c r="C15" s="44">
        <v>15367.88322663</v>
      </c>
      <c r="D15" s="44">
        <v>15247.47003715</v>
      </c>
      <c r="E15" s="44">
        <v>15738.960986850003</v>
      </c>
      <c r="F15" s="44">
        <v>17134.898370379997</v>
      </c>
      <c r="G15" s="44">
        <v>17715.26892161</v>
      </c>
      <c r="H15" s="44">
        <v>19130.248743490003</v>
      </c>
      <c r="J15" s="207"/>
      <c r="K15" s="208"/>
    </row>
    <row r="16" spans="1:11" ht="15">
      <c r="A16" s="209" t="str">
        <f>HLOOKUP(INDICE!$F$2,Nombres!$C$3:$D$636,89,FALSE)</f>
        <v>Resto of South América</v>
      </c>
      <c r="B16" s="44">
        <v>4777.12470175</v>
      </c>
      <c r="C16" s="44">
        <v>4071.0687687399995</v>
      </c>
      <c r="D16" s="44">
        <v>3943.2217687499997</v>
      </c>
      <c r="E16" s="44">
        <v>4024.4990001600004</v>
      </c>
      <c r="F16" s="44">
        <v>3839.676</v>
      </c>
      <c r="G16" s="44">
        <v>3799.337</v>
      </c>
      <c r="H16" s="44">
        <v>3784.264</v>
      </c>
      <c r="J16" s="207"/>
      <c r="K16" s="208"/>
    </row>
    <row r="17" spans="1:11" ht="15">
      <c r="A17" s="61" t="str">
        <f>HLOOKUP(INDICE!$F$2,Nombres!$C$3:$D$636,18,FALSE)</f>
        <v>Rest of Eurasia</v>
      </c>
      <c r="B17" s="44">
        <v>15052.297731889998</v>
      </c>
      <c r="C17" s="44">
        <v>14695.64772541</v>
      </c>
      <c r="D17" s="44">
        <v>13646.650012179998</v>
      </c>
      <c r="E17" s="44">
        <v>15475.72999988</v>
      </c>
      <c r="F17" s="44">
        <v>16069.803597829998</v>
      </c>
      <c r="G17" s="44">
        <v>16404.98929164</v>
      </c>
      <c r="H17" s="44">
        <v>17611.92645592</v>
      </c>
      <c r="J17" s="207"/>
      <c r="K17" s="208"/>
    </row>
    <row r="18" spans="1:11" ht="15">
      <c r="A18" s="61" t="str">
        <f>HLOOKUP(INDICE!$F$2,Nombres!$C$3:$D$636,19,FALSE)</f>
        <v>Corporate Center </v>
      </c>
      <c r="B18" s="44">
        <f>+B6-B7-B8-B9-B10-B11-B17</f>
        <v>11899.91294395996</v>
      </c>
      <c r="C18" s="44">
        <f>+C6-C7-C8-C9-C10-C11-C17</f>
        <v>8314.33047682</v>
      </c>
      <c r="D18" s="44">
        <f>+D6-D7-D8-D9-D10-D11-D17</f>
        <v>10016.22736246002</v>
      </c>
      <c r="E18" s="44">
        <f>+E6-E7-E8-E9-E10-E11-E17</f>
        <v>12653.515687099949</v>
      </c>
      <c r="F18" s="44">
        <f>+F6-F7-F8-F9-F10-F11-F17</f>
        <v>13977.839507800918</v>
      </c>
      <c r="G18" s="44">
        <v>17025.878040400003</v>
      </c>
      <c r="H18" s="44">
        <v>17991.8078717384</v>
      </c>
      <c r="J18" s="207"/>
      <c r="K18" s="208"/>
    </row>
    <row r="19" spans="1:8" ht="15">
      <c r="A19" s="30"/>
      <c r="B19" s="210">
        <f>+B7+B8+B9+B10+B11+B17+B18-B6</f>
        <v>0</v>
      </c>
      <c r="C19" s="210">
        <f aca="true" t="shared" si="0" ref="C19:H19">+C7+C8+C9+C10+C11+C17+C18-C6</f>
        <v>0</v>
      </c>
      <c r="D19" s="210">
        <f t="shared" si="0"/>
        <v>0</v>
      </c>
      <c r="E19" s="210">
        <f t="shared" si="0"/>
        <v>0</v>
      </c>
      <c r="F19" s="210">
        <f t="shared" si="0"/>
        <v>0</v>
      </c>
      <c r="G19" s="210">
        <f t="shared" si="0"/>
        <v>0</v>
      </c>
      <c r="H19" s="210">
        <f t="shared" si="0"/>
        <v>0</v>
      </c>
    </row>
    <row r="20" spans="1:6" ht="15">
      <c r="A20" s="165"/>
      <c r="B20" s="165"/>
      <c r="C20" s="165"/>
      <c r="D20" s="165"/>
      <c r="E20" s="165"/>
      <c r="F20" s="165"/>
    </row>
    <row r="21" spans="1:6" ht="15">
      <c r="A21" s="266" t="str">
        <f>HLOOKUP(INDICE!$F$2,Nombres!$C$3:$D$636,229,FALSE)</f>
        <v>(*) There are slight differences in the RWAs of the Business Units in the 1st Q  2019 due to reclasifications. The total amount of BBVA RWAs did not change.</v>
      </c>
      <c r="B21" s="211"/>
      <c r="C21" s="211"/>
      <c r="D21" s="211"/>
      <c r="E21" s="211"/>
      <c r="F21" s="211"/>
    </row>
    <row r="22" spans="2:6" ht="15">
      <c r="B22" s="113"/>
      <c r="F22" s="31"/>
    </row>
    <row r="1000" ht="15">
      <c r="A1000" t="s">
        <v>406</v>
      </c>
    </row>
  </sheetData>
  <sheetProtection/>
  <mergeCells count="1">
    <mergeCell ref="B4:H4"/>
  </mergeCells>
  <conditionalFormatting sqref="B19:H19">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2" sqref="A2"/>
    </sheetView>
  </sheetViews>
  <sheetFormatPr defaultColWidth="11.421875" defaultRowHeight="15"/>
  <cols>
    <col min="1" max="1" width="42.421875" style="215" customWidth="1"/>
    <col min="2" max="2" width="13.57421875" style="215" bestFit="1" customWidth="1"/>
    <col min="3" max="4" width="11.421875" style="215" customWidth="1"/>
    <col min="5" max="5" width="11.7109375" style="215" bestFit="1" customWidth="1"/>
    <col min="6" max="8" width="11.421875" style="215" customWidth="1"/>
    <col min="9" max="9" width="4.7109375" style="214" customWidth="1"/>
    <col min="10" max="10" width="11.421875" style="215" customWidth="1"/>
    <col min="11" max="11" width="11.7109375" style="215" bestFit="1" customWidth="1"/>
    <col min="12" max="16384" width="11.421875" style="215" customWidth="1"/>
  </cols>
  <sheetData>
    <row r="1" spans="1:11" ht="18">
      <c r="A1" s="212" t="str">
        <f>HLOOKUP(INDICE!$F$2,Nombres!$C$3:$D$636,113,FALSE)</f>
        <v>Breakdown of performing loans under management</v>
      </c>
      <c r="B1" s="213"/>
      <c r="C1" s="213"/>
      <c r="D1" s="213"/>
      <c r="E1" s="213"/>
      <c r="F1" s="213"/>
      <c r="G1" s="213"/>
      <c r="H1" s="213"/>
      <c r="K1" s="216"/>
    </row>
    <row r="2" spans="1:11" ht="15.75">
      <c r="A2" s="217" t="str">
        <f>HLOOKUP(INDICE!$F$2,Nombres!$C$3:$D$636,73,FALSE)</f>
        <v>(Constant million euros)    </v>
      </c>
      <c r="B2" s="216"/>
      <c r="C2" s="216"/>
      <c r="D2" s="216"/>
      <c r="E2" s="216"/>
      <c r="F2" s="216"/>
      <c r="K2" s="216"/>
    </row>
    <row r="3" spans="1:11" ht="15.75">
      <c r="A3" s="218"/>
      <c r="B3" s="216"/>
      <c r="C3" s="216"/>
      <c r="D3" s="216"/>
      <c r="E3" s="216"/>
      <c r="F3" s="216"/>
      <c r="K3" s="216"/>
    </row>
    <row r="4" spans="1:8" ht="15.75" customHeight="1">
      <c r="A4" s="219"/>
      <c r="B4" s="297" t="s">
        <v>28</v>
      </c>
      <c r="C4" s="297"/>
      <c r="D4" s="297"/>
      <c r="E4" s="297"/>
      <c r="F4" s="297"/>
      <c r="G4" s="297"/>
      <c r="H4" s="297"/>
    </row>
    <row r="5" spans="1:11" ht="15.75">
      <c r="A5" s="220"/>
      <c r="B5" s="126">
        <f>+España!B30</f>
        <v>43190</v>
      </c>
      <c r="C5" s="126">
        <f>+España!C30</f>
        <v>43281</v>
      </c>
      <c r="D5" s="126">
        <f>+España!D30</f>
        <v>43373</v>
      </c>
      <c r="E5" s="126">
        <f>+España!E30</f>
        <v>43465</v>
      </c>
      <c r="F5" s="126">
        <f>+España!F30</f>
        <v>43555</v>
      </c>
      <c r="G5" s="126">
        <f>+España!G30</f>
        <v>43646</v>
      </c>
      <c r="H5" s="126">
        <f>+España!H30</f>
        <v>43738</v>
      </c>
      <c r="K5" s="126"/>
    </row>
    <row r="6" spans="1:13" ht="15">
      <c r="A6" s="221" t="str">
        <f>HLOOKUP(INDICE!$F$2,Nombres!$C$3:$D$636,209,FALSE)</f>
        <v>Mortages</v>
      </c>
      <c r="B6" s="222">
        <v>76410.39031799999</v>
      </c>
      <c r="C6" s="222">
        <v>75878.30673999999</v>
      </c>
      <c r="D6" s="222">
        <v>75378.17960399998</v>
      </c>
      <c r="E6" s="222">
        <v>74542.80918699998</v>
      </c>
      <c r="F6" s="222">
        <v>74144.91266199999</v>
      </c>
      <c r="G6" s="222">
        <v>73355.26624299999</v>
      </c>
      <c r="H6" s="222">
        <v>72461.449829</v>
      </c>
      <c r="K6" s="222"/>
      <c r="M6" s="282"/>
    </row>
    <row r="7" spans="1:13" ht="15">
      <c r="A7" s="221" t="str">
        <f>HLOOKUP(INDICE!$F$2,Nombres!$C$3:$D$636,210,FALSE)</f>
        <v>Consumer &amp; Credit Cards</v>
      </c>
      <c r="B7" s="222">
        <v>10154.102161000004</v>
      </c>
      <c r="C7" s="222">
        <v>10856.740969999999</v>
      </c>
      <c r="D7" s="222">
        <v>11257.842447</v>
      </c>
      <c r="E7" s="222">
        <v>11748.645396</v>
      </c>
      <c r="F7" s="222">
        <v>12152.646872</v>
      </c>
      <c r="G7" s="222">
        <v>12829.867210999997</v>
      </c>
      <c r="H7" s="222">
        <v>13018.849939</v>
      </c>
      <c r="I7" s="283"/>
      <c r="K7" s="222"/>
      <c r="M7" s="282"/>
    </row>
    <row r="8" spans="1:13" ht="15">
      <c r="A8" s="221" t="str">
        <f>HLOOKUP(INDICE!$F$2,Nombres!$C$3:$D$636,211,FALSE)</f>
        <v>Very small business</v>
      </c>
      <c r="B8" s="222">
        <v>12752.313954000001</v>
      </c>
      <c r="C8" s="222">
        <v>13065.464990999999</v>
      </c>
      <c r="D8" s="222">
        <v>13209.931408</v>
      </c>
      <c r="E8" s="222">
        <v>13340.453282000002</v>
      </c>
      <c r="F8" s="222">
        <v>13432.270105999996</v>
      </c>
      <c r="G8" s="222">
        <v>13630.372268000001</v>
      </c>
      <c r="H8" s="222">
        <v>13526.263164999997</v>
      </c>
      <c r="I8" s="283"/>
      <c r="K8" s="222"/>
      <c r="M8" s="282"/>
    </row>
    <row r="9" spans="1:13" ht="15">
      <c r="A9" s="221" t="str">
        <f>HLOOKUP(INDICE!$F$2,Nombres!$C$3:$D$636,212,FALSE)</f>
        <v>Mid-size companies</v>
      </c>
      <c r="B9" s="222">
        <v>15081.292352</v>
      </c>
      <c r="C9" s="222">
        <v>15367.786436000002</v>
      </c>
      <c r="D9" s="222">
        <v>15422.427546</v>
      </c>
      <c r="E9" s="222">
        <v>15796.834724</v>
      </c>
      <c r="F9" s="222">
        <v>16134.799098</v>
      </c>
      <c r="G9" s="222">
        <v>16517.061405</v>
      </c>
      <c r="H9" s="222">
        <v>16381.853256</v>
      </c>
      <c r="I9" s="283"/>
      <c r="K9" s="222"/>
      <c r="M9" s="282"/>
    </row>
    <row r="10" spans="1:13" ht="15">
      <c r="A10" s="221" t="str">
        <f>HLOOKUP(INDICE!$F$2,Nombres!$C$3:$D$636,213,FALSE)</f>
        <v>Corporates + CIB</v>
      </c>
      <c r="B10" s="222">
        <v>22251.045862</v>
      </c>
      <c r="C10" s="222">
        <v>21650.302579</v>
      </c>
      <c r="D10" s="222">
        <v>21519.74726931</v>
      </c>
      <c r="E10" s="222">
        <v>23376.51682975</v>
      </c>
      <c r="F10" s="222">
        <v>23559.61327302</v>
      </c>
      <c r="G10" s="222">
        <v>22662.43654849</v>
      </c>
      <c r="H10" s="222">
        <v>21148.22085149</v>
      </c>
      <c r="K10" s="222"/>
      <c r="M10" s="282"/>
    </row>
    <row r="11" spans="1:13" ht="15">
      <c r="A11" s="221" t="str">
        <f>HLOOKUP(INDICE!$F$2,Nombres!$C$3:$D$636,214,FALSE)</f>
        <v>Public Sector</v>
      </c>
      <c r="B11" s="222">
        <v>18051.32587</v>
      </c>
      <c r="C11" s="222">
        <v>19541.907404999998</v>
      </c>
      <c r="D11" s="222">
        <v>17491.369694999998</v>
      </c>
      <c r="E11" s="222">
        <v>17070.121237</v>
      </c>
      <c r="F11" s="222">
        <v>17001.861112</v>
      </c>
      <c r="G11" s="222">
        <v>18798.359816000004</v>
      </c>
      <c r="H11" s="222">
        <v>16092.142047000001</v>
      </c>
      <c r="K11" s="222"/>
      <c r="M11" s="282"/>
    </row>
    <row r="12" spans="1:13" ht="15">
      <c r="A12" s="221" t="str">
        <f>HLOOKUP(INDICE!$F$2,Nombres!$C$3:$D$636,215,FALSE)</f>
        <v>Other</v>
      </c>
      <c r="B12" s="222">
        <v>9158.102006999998</v>
      </c>
      <c r="C12" s="222">
        <v>9917.498860000002</v>
      </c>
      <c r="D12" s="222">
        <v>9953.464952689998</v>
      </c>
      <c r="E12" s="222">
        <v>10521.063201250001</v>
      </c>
      <c r="F12" s="222">
        <v>10376.181539420002</v>
      </c>
      <c r="G12" s="222">
        <v>9747.253813</v>
      </c>
      <c r="H12" s="222">
        <v>10231.178997619998</v>
      </c>
      <c r="K12" s="222"/>
      <c r="M12" s="282"/>
    </row>
    <row r="13" spans="1:13" ht="15">
      <c r="A13" s="223" t="str">
        <f>HLOOKUP(INDICE!$F$2,Nombres!$C$3:$D$636,112,FALSE)</f>
        <v>Performing Loans under management (*)</v>
      </c>
      <c r="B13" s="224">
        <v>163858.57252400002</v>
      </c>
      <c r="C13" s="224">
        <v>166278.007981</v>
      </c>
      <c r="D13" s="224">
        <v>164232.96292199998</v>
      </c>
      <c r="E13" s="224">
        <v>166396.443857</v>
      </c>
      <c r="F13" s="224">
        <v>166802.28466243998</v>
      </c>
      <c r="G13" s="224">
        <v>167540.61730449</v>
      </c>
      <c r="H13" s="224">
        <v>162859.95808511</v>
      </c>
      <c r="K13" s="223"/>
      <c r="M13" s="282"/>
    </row>
    <row r="14" spans="1:13" ht="15.75">
      <c r="A14" s="216"/>
      <c r="B14" s="225">
        <f>+SUM(B6:B12)-B13</f>
        <v>0</v>
      </c>
      <c r="C14" s="225">
        <f aca="true" t="shared" si="0" ref="C14:H14">+SUM(C6:C12)-C13</f>
        <v>0</v>
      </c>
      <c r="D14" s="225">
        <f t="shared" si="0"/>
        <v>0</v>
      </c>
      <c r="E14" s="225">
        <f t="shared" si="0"/>
        <v>0</v>
      </c>
      <c r="F14" s="225">
        <f t="shared" si="0"/>
        <v>0</v>
      </c>
      <c r="G14" s="225">
        <f t="shared" si="0"/>
        <v>0</v>
      </c>
      <c r="H14" s="225">
        <f t="shared" si="0"/>
        <v>0</v>
      </c>
      <c r="K14" s="226"/>
      <c r="M14" s="282"/>
    </row>
    <row r="15" spans="1:13" ht="15">
      <c r="A15" s="285"/>
      <c r="B15" s="222"/>
      <c r="C15" s="222"/>
      <c r="D15" s="222"/>
      <c r="E15" s="222"/>
      <c r="F15" s="222"/>
      <c r="G15" s="222"/>
      <c r="H15" s="222"/>
      <c r="K15" s="222"/>
      <c r="M15" s="282"/>
    </row>
    <row r="16" spans="1:11" ht="15.75">
      <c r="A16" s="216"/>
      <c r="B16" s="227"/>
      <c r="C16" s="227"/>
      <c r="D16" s="227"/>
      <c r="E16" s="227"/>
      <c r="F16" s="227"/>
      <c r="K16" s="227"/>
    </row>
    <row r="17" spans="1:8" ht="15.75">
      <c r="A17" s="219"/>
      <c r="B17" s="297" t="s">
        <v>33</v>
      </c>
      <c r="C17" s="297"/>
      <c r="D17" s="297"/>
      <c r="E17" s="297"/>
      <c r="F17" s="297"/>
      <c r="G17" s="297"/>
      <c r="H17" s="297"/>
    </row>
    <row r="18" spans="1:11" ht="15.75">
      <c r="A18" s="220"/>
      <c r="B18" s="126">
        <f>+B$5</f>
        <v>43190</v>
      </c>
      <c r="C18" s="126">
        <f aca="true" t="shared" si="1" ref="C18:H18">+C$5</f>
        <v>43281</v>
      </c>
      <c r="D18" s="126">
        <f t="shared" si="1"/>
        <v>43373</v>
      </c>
      <c r="E18" s="126">
        <f t="shared" si="1"/>
        <v>43465</v>
      </c>
      <c r="F18" s="126">
        <f t="shared" si="1"/>
        <v>43555</v>
      </c>
      <c r="G18" s="126">
        <f t="shared" si="1"/>
        <v>43646</v>
      </c>
      <c r="H18" s="126">
        <f t="shared" si="1"/>
        <v>43738</v>
      </c>
      <c r="K18" s="55"/>
    </row>
    <row r="19" spans="1:13" ht="15">
      <c r="A19" s="221" t="str">
        <f>HLOOKUP(INDICE!$F$2,Nombres!$C$3:$D$636,105,FALSE)</f>
        <v>Mortages</v>
      </c>
      <c r="B19" s="222">
        <v>14145.876125232293</v>
      </c>
      <c r="C19" s="222">
        <v>14492.461833772137</v>
      </c>
      <c r="D19" s="222">
        <v>14624.650957993348</v>
      </c>
      <c r="E19" s="222">
        <v>14680.465146466957</v>
      </c>
      <c r="F19" s="222">
        <v>14611.221650984495</v>
      </c>
      <c r="G19" s="222">
        <v>14621.766608323622</v>
      </c>
      <c r="H19" s="222">
        <v>14577.26819084</v>
      </c>
      <c r="K19" s="222"/>
      <c r="M19" s="282"/>
    </row>
    <row r="20" spans="1:13" ht="15">
      <c r="A20" s="221" t="str">
        <f>HLOOKUP(INDICE!$F$2,Nombres!$C$3:$D$636,210,FALSE)</f>
        <v>Consumer &amp; Credit Cards</v>
      </c>
      <c r="B20" s="222">
        <v>5198.356111387818</v>
      </c>
      <c r="C20" s="222">
        <v>5651.563799656458</v>
      </c>
      <c r="D20" s="222">
        <v>6133.812231818125</v>
      </c>
      <c r="E20" s="222">
        <v>6385.265914642097</v>
      </c>
      <c r="F20" s="222">
        <v>6354.239024499859</v>
      </c>
      <c r="G20" s="222">
        <v>6282.9485164362195</v>
      </c>
      <c r="H20" s="222">
        <v>6231.751585309999</v>
      </c>
      <c r="K20" s="222"/>
      <c r="M20" s="282"/>
    </row>
    <row r="21" spans="1:13" ht="15">
      <c r="A21" s="221" t="str">
        <f>HLOOKUP(INDICE!$F$2,Nombres!$C$3:$D$636,108,FALSE)</f>
        <v>Public Sector</v>
      </c>
      <c r="B21" s="222">
        <v>5621.1463930518785</v>
      </c>
      <c r="C21" s="222">
        <v>5700.631047427236</v>
      </c>
      <c r="D21" s="222">
        <v>5665.105993756728</v>
      </c>
      <c r="E21" s="222">
        <v>5678.1337624082435</v>
      </c>
      <c r="F21" s="222">
        <v>5707.837034536513</v>
      </c>
      <c r="G21" s="222">
        <v>5688.268998024457</v>
      </c>
      <c r="H21" s="222">
        <v>5646.41628938</v>
      </c>
      <c r="K21" s="222"/>
      <c r="M21" s="282"/>
    </row>
    <row r="22" spans="1:13" ht="15">
      <c r="A22" s="221" t="s">
        <v>7</v>
      </c>
      <c r="B22" s="222">
        <v>8844.27882057088</v>
      </c>
      <c r="C22" s="222">
        <v>9280.064157547045</v>
      </c>
      <c r="D22" s="222">
        <v>9379.681578014</v>
      </c>
      <c r="E22" s="222">
        <v>10052.016252169393</v>
      </c>
      <c r="F22" s="222">
        <v>9450.16782443587</v>
      </c>
      <c r="G22" s="222">
        <v>9388.870945779296</v>
      </c>
      <c r="H22" s="222">
        <v>9472.97826801</v>
      </c>
      <c r="K22" s="222"/>
      <c r="M22" s="282"/>
    </row>
    <row r="23" spans="1:13" ht="15">
      <c r="A23" s="221" t="str">
        <f>HLOOKUP(INDICE!$F$2,Nombres!$C$3:$D$636,203,FALSE)</f>
        <v>Other Commercial</v>
      </c>
      <c r="B23" s="222">
        <v>24392.494560650695</v>
      </c>
      <c r="C23" s="222">
        <v>24620.459813170237</v>
      </c>
      <c r="D23" s="222">
        <v>25485.858866509327</v>
      </c>
      <c r="E23" s="222">
        <v>25977.59435948859</v>
      </c>
      <c r="F23" s="222">
        <v>26044.319598841495</v>
      </c>
      <c r="G23" s="222">
        <v>25519.7121309672</v>
      </c>
      <c r="H23" s="222">
        <v>26106.64916453</v>
      </c>
      <c r="K23" s="222"/>
      <c r="M23" s="282"/>
    </row>
    <row r="24" spans="1:13" ht="15">
      <c r="A24" s="221" t="str">
        <f>HLOOKUP(INDICE!$F$2,Nombres!$C$3:$D$636,111,FALSE)</f>
        <v>Others</v>
      </c>
      <c r="B24" s="222">
        <v>1203.7347053930255</v>
      </c>
      <c r="C24" s="222">
        <v>913.6583785114263</v>
      </c>
      <c r="D24" s="222">
        <v>1145.0280879108846</v>
      </c>
      <c r="E24" s="222">
        <v>1142.193561569933</v>
      </c>
      <c r="F24" s="222">
        <v>1188.0112274599603</v>
      </c>
      <c r="G24" s="222">
        <v>1383.5839997964906</v>
      </c>
      <c r="H24" s="222">
        <v>1290.8695579999987</v>
      </c>
      <c r="K24" s="222"/>
      <c r="M24" s="282"/>
    </row>
    <row r="25" spans="1:13" ht="15">
      <c r="A25" s="223" t="str">
        <f>HLOOKUP(INDICE!$F$2,Nombres!$C$3:$D$636,112,FALSE)</f>
        <v>Performing Loans under management (*)</v>
      </c>
      <c r="B25" s="224">
        <v>59405.88671628659</v>
      </c>
      <c r="C25" s="224">
        <v>60658.839030084535</v>
      </c>
      <c r="D25" s="224">
        <v>62434.13771600242</v>
      </c>
      <c r="E25" s="224">
        <v>63915.66899674522</v>
      </c>
      <c r="F25" s="224">
        <v>63355.796360758184</v>
      </c>
      <c r="G25" s="224">
        <v>62885.15119932727</v>
      </c>
      <c r="H25" s="224">
        <v>63325.933056070004</v>
      </c>
      <c r="K25" s="222"/>
      <c r="M25" s="282"/>
    </row>
    <row r="26" spans="1:13" ht="15.75">
      <c r="A26" s="216"/>
      <c r="B26" s="225">
        <f aca="true" t="shared" si="2" ref="B26:H26">+SUM(B19:B24)-B25</f>
        <v>0</v>
      </c>
      <c r="C26" s="225">
        <f t="shared" si="2"/>
        <v>0</v>
      </c>
      <c r="D26" s="225">
        <f t="shared" si="2"/>
        <v>0</v>
      </c>
      <c r="E26" s="225">
        <f t="shared" si="2"/>
        <v>0</v>
      </c>
      <c r="F26" s="225">
        <f t="shared" si="2"/>
        <v>0</v>
      </c>
      <c r="G26" s="225">
        <f t="shared" si="2"/>
        <v>0</v>
      </c>
      <c r="H26" s="225">
        <f t="shared" si="2"/>
        <v>0</v>
      </c>
      <c r="K26" s="228"/>
      <c r="M26" s="282"/>
    </row>
    <row r="27" spans="1:13" ht="15.75">
      <c r="A27" s="216"/>
      <c r="B27" s="226"/>
      <c r="C27" s="226"/>
      <c r="D27" s="226"/>
      <c r="E27" s="226"/>
      <c r="F27" s="226"/>
      <c r="G27" s="226"/>
      <c r="H27" s="226"/>
      <c r="K27" s="229"/>
      <c r="M27" s="282"/>
    </row>
    <row r="28" spans="1:13" ht="15.75">
      <c r="A28" s="285"/>
      <c r="F28" s="227"/>
      <c r="G28" s="227"/>
      <c r="H28" s="227"/>
      <c r="K28" s="222"/>
      <c r="M28" s="282"/>
    </row>
    <row r="29" spans="1:11" ht="15.75">
      <c r="A29" s="216"/>
      <c r="B29" s="227"/>
      <c r="C29" s="227"/>
      <c r="D29" s="227"/>
      <c r="E29" s="227"/>
      <c r="F29" s="227"/>
      <c r="K29" s="230"/>
    </row>
    <row r="30" spans="1:11" ht="15.75">
      <c r="A30" s="219"/>
      <c r="B30" s="297" t="s">
        <v>340</v>
      </c>
      <c r="C30" s="297"/>
      <c r="D30" s="297"/>
      <c r="E30" s="297"/>
      <c r="F30" s="297"/>
      <c r="G30" s="297"/>
      <c r="H30" s="297"/>
      <c r="K30" s="231"/>
    </row>
    <row r="31" spans="1:11" ht="15.75">
      <c r="A31" s="220"/>
      <c r="B31" s="126">
        <f>+B$5</f>
        <v>43190</v>
      </c>
      <c r="C31" s="126">
        <f aca="true" t="shared" si="3" ref="C31:H31">+C$5</f>
        <v>43281</v>
      </c>
      <c r="D31" s="126">
        <f t="shared" si="3"/>
        <v>43373</v>
      </c>
      <c r="E31" s="126">
        <f t="shared" si="3"/>
        <v>43465</v>
      </c>
      <c r="F31" s="126">
        <f t="shared" si="3"/>
        <v>43555</v>
      </c>
      <c r="G31" s="126">
        <f t="shared" si="3"/>
        <v>43646</v>
      </c>
      <c r="H31" s="126">
        <f t="shared" si="3"/>
        <v>43738</v>
      </c>
      <c r="K31" s="55"/>
    </row>
    <row r="32" spans="1:13" ht="15">
      <c r="A32" s="221" t="str">
        <f>HLOOKUP(INDICE!$F$2,Nombres!$C$3:$D$636,105,FALSE)</f>
        <v>Mortages</v>
      </c>
      <c r="B32" s="222">
        <v>21250.877116278112</v>
      </c>
      <c r="C32" s="222">
        <v>23682.86609837134</v>
      </c>
      <c r="D32" s="222">
        <v>23333.912845931518</v>
      </c>
      <c r="E32" s="222">
        <v>23750.560266326156</v>
      </c>
      <c r="F32" s="222">
        <v>23320.187644009893</v>
      </c>
      <c r="G32" s="222">
        <v>24049.681899095292</v>
      </c>
      <c r="H32" s="222">
        <v>23823.57896306664</v>
      </c>
      <c r="K32" s="222"/>
      <c r="M32" s="282"/>
    </row>
    <row r="33" spans="1:13" ht="15">
      <c r="A33" s="221" t="str">
        <f>HLOOKUP(INDICE!$F$2,Nombres!$C$3:$D$636,106,FALSE)</f>
        <v>Consumer</v>
      </c>
      <c r="B33" s="222">
        <v>3520.1666189779917</v>
      </c>
      <c r="C33" s="222">
        <v>3600.711852893231</v>
      </c>
      <c r="D33" s="222">
        <v>3649.9682721254003</v>
      </c>
      <c r="E33" s="222">
        <v>3566.1850783704426</v>
      </c>
      <c r="F33" s="222">
        <v>3663.643308442805</v>
      </c>
      <c r="G33" s="222">
        <v>3640.460832857639</v>
      </c>
      <c r="H33" s="222">
        <v>3547.8636846646664</v>
      </c>
      <c r="K33" s="222"/>
      <c r="M33" s="282"/>
    </row>
    <row r="34" spans="1:13" ht="15">
      <c r="A34" s="221" t="str">
        <f>HLOOKUP(INDICE!$F$2,Nombres!$C$3:$D$636,107,FALSE)</f>
        <v>Credit Cards</v>
      </c>
      <c r="B34" s="222">
        <v>23.92268145495525</v>
      </c>
      <c r="C34" s="222">
        <v>21.670188264060744</v>
      </c>
      <c r="D34" s="222">
        <v>21.657585813488293</v>
      </c>
      <c r="E34" s="222">
        <v>9.737242658067078</v>
      </c>
      <c r="F34" s="222">
        <v>10.0664800117997</v>
      </c>
      <c r="G34" s="222">
        <v>10.079379694816836</v>
      </c>
      <c r="H34" s="222">
        <v>9.79717959973306</v>
      </c>
      <c r="K34" s="222"/>
      <c r="M34" s="282"/>
    </row>
    <row r="35" spans="1:13" ht="15">
      <c r="A35" s="221" t="str">
        <f>HLOOKUP(INDICE!$F$2,Nombres!$C$3:$D$636,110,FALSE)</f>
        <v>SMEs</v>
      </c>
      <c r="B35" s="222">
        <v>4748.4141748031925</v>
      </c>
      <c r="C35" s="222">
        <v>4767.148074942033</v>
      </c>
      <c r="D35" s="222">
        <v>4761.214874726696</v>
      </c>
      <c r="E35" s="222">
        <v>4930.074884710129</v>
      </c>
      <c r="F35" s="222">
        <v>4780.4097164188615</v>
      </c>
      <c r="G35" s="222">
        <v>4907.175614575228</v>
      </c>
      <c r="H35" s="222">
        <v>4983.687653430642</v>
      </c>
      <c r="K35" s="222"/>
      <c r="M35" s="282"/>
    </row>
    <row r="36" spans="1:13" ht="15">
      <c r="A36" s="221" t="str">
        <f>HLOOKUP(INDICE!$F$2,Nombres!$C$3:$D$636,216,FALSE)</f>
        <v>Other Retail</v>
      </c>
      <c r="B36" s="222">
        <v>3261.105461189221</v>
      </c>
      <c r="C36" s="222">
        <v>3454.975635036525</v>
      </c>
      <c r="D36" s="222">
        <v>3597.7173777246653</v>
      </c>
      <c r="E36" s="222">
        <v>3772.484494681946</v>
      </c>
      <c r="F36" s="222">
        <v>3619.975769958663</v>
      </c>
      <c r="G36" s="222">
        <v>3616.687603605219</v>
      </c>
      <c r="H36" s="222">
        <v>3780.2581843972034</v>
      </c>
      <c r="K36" s="222"/>
      <c r="M36" s="282"/>
    </row>
    <row r="37" spans="1:13" ht="15">
      <c r="A37" s="221" t="str">
        <f>HLOOKUP(INDICE!$F$2,Nombres!$C$3:$D$636,217,FALSE)</f>
        <v>Other Commercial</v>
      </c>
      <c r="B37" s="222">
        <v>9250.002451272094</v>
      </c>
      <c r="C37" s="222">
        <v>9398.844939681921</v>
      </c>
      <c r="D37" s="222">
        <v>9563.630508673285</v>
      </c>
      <c r="E37" s="222">
        <v>9753.560322043437</v>
      </c>
      <c r="F37" s="222">
        <v>10034.185090471405</v>
      </c>
      <c r="G37" s="222">
        <v>10317.263322870174</v>
      </c>
      <c r="H37" s="222">
        <v>10546.058512856393</v>
      </c>
      <c r="K37" s="222"/>
      <c r="M37" s="282"/>
    </row>
    <row r="38" spans="1:13" ht="15">
      <c r="A38" s="221" t="str">
        <f>HLOOKUP(INDICE!$F$2,Nombres!$C$3:$D$636,108,FALSE)</f>
        <v>Public Sector</v>
      </c>
      <c r="B38" s="222">
        <v>7317.72832642966</v>
      </c>
      <c r="C38" s="222">
        <v>7510.444449651771</v>
      </c>
      <c r="D38" s="222">
        <v>7656.634194850799</v>
      </c>
      <c r="E38" s="222">
        <v>7797.883020646238</v>
      </c>
      <c r="F38" s="222">
        <v>8186.395556002529</v>
      </c>
      <c r="G38" s="222">
        <v>8441.50128515479</v>
      </c>
      <c r="H38" s="222">
        <v>8744.625407343492</v>
      </c>
      <c r="K38" s="222"/>
      <c r="M38" s="282"/>
    </row>
    <row r="39" spans="1:13" ht="15">
      <c r="A39" s="223" t="str">
        <f>HLOOKUP(INDICE!$F$2,Nombres!$C$3:$D$636,112,FALSE)</f>
        <v>Performing Loans under management (*)</v>
      </c>
      <c r="B39" s="224">
        <v>49372.21683040523</v>
      </c>
      <c r="C39" s="224">
        <v>52436.66123884088</v>
      </c>
      <c r="D39" s="224">
        <v>52584.73565984585</v>
      </c>
      <c r="E39" s="224">
        <v>53580.485309436415</v>
      </c>
      <c r="F39" s="224">
        <v>53614.86356531596</v>
      </c>
      <c r="G39" s="224">
        <v>54982.84993785316</v>
      </c>
      <c r="H39" s="224">
        <v>55435.86958535877</v>
      </c>
      <c r="I39" s="267"/>
      <c r="K39" s="228"/>
      <c r="M39" s="282"/>
    </row>
    <row r="40" spans="1:11" ht="15.75">
      <c r="A40" s="232" t="str">
        <f>HLOOKUP(INDICE!$F$2,Nombres!$C$3:$D$636,205,FALSE)</f>
        <v>According to Local GAAP(***) </v>
      </c>
      <c r="B40" s="225">
        <f>+SUM(B32:B38)-B39</f>
        <v>0</v>
      </c>
      <c r="C40" s="225">
        <f aca="true" t="shared" si="4" ref="C40:H40">+SUM(C32:C38)-C39</f>
        <v>0</v>
      </c>
      <c r="D40" s="225">
        <f t="shared" si="4"/>
        <v>0</v>
      </c>
      <c r="E40" s="225">
        <f t="shared" si="4"/>
        <v>0</v>
      </c>
      <c r="F40" s="225">
        <f t="shared" si="4"/>
        <v>0</v>
      </c>
      <c r="G40" s="225">
        <f t="shared" si="4"/>
        <v>0</v>
      </c>
      <c r="H40" s="225">
        <f t="shared" si="4"/>
        <v>0</v>
      </c>
      <c r="K40" s="229"/>
    </row>
    <row r="41" spans="1:11" ht="15">
      <c r="A41" s="285"/>
      <c r="B41" s="222"/>
      <c r="C41" s="222"/>
      <c r="D41" s="222"/>
      <c r="E41" s="222"/>
      <c r="F41" s="222"/>
      <c r="G41" s="222"/>
      <c r="H41" s="222"/>
      <c r="K41" s="222"/>
    </row>
    <row r="42" spans="2:11" ht="15.75">
      <c r="B42" s="227"/>
      <c r="C42" s="227"/>
      <c r="D42" s="227"/>
      <c r="E42" s="227"/>
      <c r="F42" s="227"/>
      <c r="K42" s="227"/>
    </row>
    <row r="43" spans="1:12" ht="15.75">
      <c r="A43" s="219"/>
      <c r="B43" s="297" t="s">
        <v>37</v>
      </c>
      <c r="C43" s="297"/>
      <c r="D43" s="297"/>
      <c r="E43" s="297"/>
      <c r="F43" s="297"/>
      <c r="G43" s="297"/>
      <c r="H43" s="297"/>
      <c r="K43" s="233"/>
      <c r="L43" s="233"/>
    </row>
    <row r="44" spans="1:12" ht="15.75">
      <c r="A44" s="220"/>
      <c r="B44" s="126">
        <f>+B$5</f>
        <v>43190</v>
      </c>
      <c r="C44" s="126">
        <f aca="true" t="shared" si="5" ref="C44:H44">+C$5</f>
        <v>43281</v>
      </c>
      <c r="D44" s="126">
        <f t="shared" si="5"/>
        <v>43373</v>
      </c>
      <c r="E44" s="126">
        <f t="shared" si="5"/>
        <v>43465</v>
      </c>
      <c r="F44" s="126">
        <f t="shared" si="5"/>
        <v>43555</v>
      </c>
      <c r="G44" s="126">
        <f t="shared" si="5"/>
        <v>43646</v>
      </c>
      <c r="H44" s="126">
        <f t="shared" si="5"/>
        <v>43738</v>
      </c>
      <c r="K44" s="55"/>
      <c r="L44" s="233"/>
    </row>
    <row r="45" spans="1:13" ht="15">
      <c r="A45" s="221" t="str">
        <f>HLOOKUP(INDICE!$F$2,Nombres!$C$3:$D$636,105,FALSE)</f>
        <v>Mortages</v>
      </c>
      <c r="B45" s="222">
        <v>3816.8108103145905</v>
      </c>
      <c r="C45" s="222">
        <v>3789.597931911541</v>
      </c>
      <c r="D45" s="222">
        <v>3634.4515118890777</v>
      </c>
      <c r="E45" s="222">
        <v>3477.953795468646</v>
      </c>
      <c r="F45" s="222">
        <v>3341.46418404177</v>
      </c>
      <c r="G45" s="222">
        <v>3214.036681748855</v>
      </c>
      <c r="H45" s="222">
        <v>3106.9143175399995</v>
      </c>
      <c r="K45" s="222"/>
      <c r="L45" s="233"/>
      <c r="M45" s="282"/>
    </row>
    <row r="46" spans="1:13" ht="15">
      <c r="A46" s="221" t="str">
        <f>HLOOKUP(INDICE!$F$2,Nombres!$C$3:$D$636,106,FALSE)</f>
        <v>Consumer</v>
      </c>
      <c r="B46" s="222">
        <v>5242.577634341545</v>
      </c>
      <c r="C46" s="222">
        <v>5459.520553708312</v>
      </c>
      <c r="D46" s="222">
        <v>5535.052946267752</v>
      </c>
      <c r="E46" s="222">
        <v>5187.526538360229</v>
      </c>
      <c r="F46" s="222">
        <v>5025.468989505589</v>
      </c>
      <c r="G46" s="222">
        <v>5037.420105390517</v>
      </c>
      <c r="H46" s="222">
        <v>5178.953947020001</v>
      </c>
      <c r="K46" s="222"/>
      <c r="L46" s="233"/>
      <c r="M46" s="282"/>
    </row>
    <row r="47" spans="1:13" ht="15">
      <c r="A47" s="221" t="str">
        <f>HLOOKUP(INDICE!$F$2,Nombres!$C$3:$D$636,107,FALSE)</f>
        <v>Credit Cards</v>
      </c>
      <c r="B47" s="222">
        <v>3316.597483656302</v>
      </c>
      <c r="C47" s="222">
        <v>3468.286987192921</v>
      </c>
      <c r="D47" s="222">
        <v>3732.5998193275664</v>
      </c>
      <c r="E47" s="222">
        <v>3823.0350506924838</v>
      </c>
      <c r="F47" s="222">
        <v>3815.7892229210142</v>
      </c>
      <c r="G47" s="222">
        <v>3929.8912757974344</v>
      </c>
      <c r="H47" s="222">
        <v>4085.2980000000007</v>
      </c>
      <c r="K47" s="222"/>
      <c r="L47" s="233"/>
      <c r="M47" s="282"/>
    </row>
    <row r="48" spans="1:13" ht="15">
      <c r="A48" s="221" t="str">
        <f>HLOOKUP(INDICE!$F$2,Nombres!$C$3:$D$636,108,FALSE)</f>
        <v>Public Sector</v>
      </c>
      <c r="B48" s="222">
        <v>73.76613192515083</v>
      </c>
      <c r="C48" s="222">
        <v>84.85876781008918</v>
      </c>
      <c r="D48" s="222">
        <v>105.06231086746678</v>
      </c>
      <c r="E48" s="222">
        <v>93.38825299235997</v>
      </c>
      <c r="F48" s="222">
        <v>69.95455195088162</v>
      </c>
      <c r="G48" s="222">
        <v>69.69630970387641</v>
      </c>
      <c r="H48" s="222">
        <v>99.183</v>
      </c>
      <c r="K48" s="222"/>
      <c r="L48" s="233"/>
      <c r="M48" s="282"/>
    </row>
    <row r="49" spans="1:13" ht="15">
      <c r="A49" s="221" t="str">
        <f>HLOOKUP(INDICE!$F$2,Nombres!$C$3:$D$636,109,FALSE)</f>
        <v>Financial and Non Financial Companies</v>
      </c>
      <c r="B49" s="222">
        <v>26367.349266920563</v>
      </c>
      <c r="C49" s="222">
        <v>28193.949685700318</v>
      </c>
      <c r="D49" s="222">
        <v>31946.269850904147</v>
      </c>
      <c r="E49" s="222">
        <v>27250.4715123807</v>
      </c>
      <c r="F49" s="222">
        <v>29869.93849429964</v>
      </c>
      <c r="G49" s="222">
        <v>28264.826109681602</v>
      </c>
      <c r="H49" s="222">
        <v>26716.554000000004</v>
      </c>
      <c r="K49" s="221"/>
      <c r="L49" s="233"/>
      <c r="M49" s="282"/>
    </row>
    <row r="50" spans="1:13" ht="15">
      <c r="A50" s="221" t="str">
        <f>HLOOKUP(INDICE!$F$2,Nombres!$C$3:$D$636,111,FALSE)</f>
        <v>Others</v>
      </c>
      <c r="B50" s="222">
        <v>534.7987788004435</v>
      </c>
      <c r="C50" s="222">
        <v>537.2807260444282</v>
      </c>
      <c r="D50" s="222">
        <v>558.8351074048171</v>
      </c>
      <c r="E50" s="222">
        <v>561.8712367482213</v>
      </c>
      <c r="F50" s="222">
        <v>580.8606122341633</v>
      </c>
      <c r="G50" s="222">
        <v>635.6768738863982</v>
      </c>
      <c r="H50" s="222">
        <v>669.4317354400002</v>
      </c>
      <c r="K50" s="221"/>
      <c r="L50" s="233"/>
      <c r="M50" s="282"/>
    </row>
    <row r="51" spans="1:13" ht="15">
      <c r="A51" s="223" t="str">
        <f>HLOOKUP(INDICE!$F$2,Nombres!$C$3:$D$636,112,FALSE)</f>
        <v>Performing Loans under management (*)</v>
      </c>
      <c r="B51" s="224">
        <v>39351.90010595859</v>
      </c>
      <c r="C51" s="224">
        <v>41533.4946523676</v>
      </c>
      <c r="D51" s="224">
        <v>45512.27154666083</v>
      </c>
      <c r="E51" s="224">
        <v>40394.24638664263</v>
      </c>
      <c r="F51" s="224">
        <v>42703.47605495306</v>
      </c>
      <c r="G51" s="224">
        <v>41151.5473562087</v>
      </c>
      <c r="H51" s="224">
        <v>39856.335</v>
      </c>
      <c r="K51" s="221"/>
      <c r="L51" s="233"/>
      <c r="M51" s="282"/>
    </row>
    <row r="52" spans="1:13" ht="15.75">
      <c r="A52" s="216"/>
      <c r="B52" s="225">
        <f>+SUM(B45:B50)-B51</f>
        <v>0</v>
      </c>
      <c r="C52" s="225">
        <f aca="true" t="shared" si="6" ref="C52:H52">+SUM(C45:C50)-C51</f>
        <v>0</v>
      </c>
      <c r="D52" s="225">
        <f t="shared" si="6"/>
        <v>0</v>
      </c>
      <c r="E52" s="225">
        <f t="shared" si="6"/>
        <v>0</v>
      </c>
      <c r="F52" s="225">
        <f t="shared" si="6"/>
        <v>0</v>
      </c>
      <c r="G52" s="225">
        <f t="shared" si="6"/>
        <v>0</v>
      </c>
      <c r="H52" s="225">
        <f t="shared" si="6"/>
        <v>0</v>
      </c>
      <c r="K52" s="223"/>
      <c r="L52" s="233"/>
      <c r="M52" s="282"/>
    </row>
    <row r="53" spans="1:12" ht="15.75">
      <c r="A53" s="216"/>
      <c r="B53" s="226"/>
      <c r="C53" s="226"/>
      <c r="D53" s="226"/>
      <c r="E53" s="226"/>
      <c r="F53" s="226"/>
      <c r="G53" s="226"/>
      <c r="H53" s="226"/>
      <c r="K53" s="226"/>
      <c r="L53" s="233"/>
    </row>
    <row r="54" spans="1:11" ht="15.75">
      <c r="A54" s="216"/>
      <c r="B54" s="226"/>
      <c r="C54" s="226"/>
      <c r="D54" s="226"/>
      <c r="E54" s="226"/>
      <c r="F54" s="226"/>
      <c r="G54" s="226"/>
      <c r="H54" s="226"/>
      <c r="K54" s="226"/>
    </row>
    <row r="55" spans="1:8" ht="15.75" customHeight="1">
      <c r="A55" s="219"/>
      <c r="B55" s="297" t="s">
        <v>39</v>
      </c>
      <c r="C55" s="297"/>
      <c r="D55" s="297"/>
      <c r="E55" s="297"/>
      <c r="F55" s="297"/>
      <c r="G55" s="297"/>
      <c r="H55" s="297"/>
    </row>
    <row r="56" spans="1:8" ht="15.75">
      <c r="A56" s="220"/>
      <c r="B56" s="126">
        <f>+B$5</f>
        <v>43190</v>
      </c>
      <c r="C56" s="126">
        <f aca="true" t="shared" si="7" ref="C56:H56">+C$5</f>
        <v>43281</v>
      </c>
      <c r="D56" s="126">
        <f t="shared" si="7"/>
        <v>43373</v>
      </c>
      <c r="E56" s="126">
        <f t="shared" si="7"/>
        <v>43465</v>
      </c>
      <c r="F56" s="126">
        <f t="shared" si="7"/>
        <v>43555</v>
      </c>
      <c r="G56" s="126">
        <f t="shared" si="7"/>
        <v>43646</v>
      </c>
      <c r="H56" s="126">
        <f t="shared" si="7"/>
        <v>43738</v>
      </c>
    </row>
    <row r="57" spans="1:13" ht="15">
      <c r="A57" s="221" t="s">
        <v>8</v>
      </c>
      <c r="B57" s="222">
        <v>2211.6236770971805</v>
      </c>
      <c r="C57" s="222">
        <v>2530.6340037480163</v>
      </c>
      <c r="D57" s="222">
        <v>2784.1181135954075</v>
      </c>
      <c r="E57" s="222">
        <v>2927.652350995489</v>
      </c>
      <c r="F57" s="222">
        <v>3052.8143080715636</v>
      </c>
      <c r="G57" s="222">
        <v>3039.5595854436406</v>
      </c>
      <c r="H57" s="222">
        <v>3331.81204395</v>
      </c>
      <c r="K57" s="222"/>
      <c r="M57" s="282"/>
    </row>
    <row r="58" spans="1:13" ht="15">
      <c r="A58" s="221" t="s">
        <v>9</v>
      </c>
      <c r="B58" s="222">
        <v>13756.250117743322</v>
      </c>
      <c r="C58" s="222">
        <v>14017.514229834123</v>
      </c>
      <c r="D58" s="222">
        <v>1933.8967833293048</v>
      </c>
      <c r="E58" s="222">
        <v>2059.274686876954</v>
      </c>
      <c r="F58" s="222">
        <v>2050.032630324097</v>
      </c>
      <c r="G58" s="222">
        <v>2023.665930618345</v>
      </c>
      <c r="H58" s="222">
        <v>2035.835</v>
      </c>
      <c r="K58" s="222"/>
      <c r="M58" s="282"/>
    </row>
    <row r="59" spans="1:13" ht="15">
      <c r="A59" s="221" t="s">
        <v>10</v>
      </c>
      <c r="B59" s="222">
        <v>11363.386695535926</v>
      </c>
      <c r="C59" s="222">
        <v>11590.139574458584</v>
      </c>
      <c r="D59" s="222">
        <v>11593.529543998731</v>
      </c>
      <c r="E59" s="222">
        <v>11758.503552694518</v>
      </c>
      <c r="F59" s="222">
        <v>11600.966394561881</v>
      </c>
      <c r="G59" s="222">
        <v>11824.763735502956</v>
      </c>
      <c r="H59" s="222">
        <v>12240.414425190002</v>
      </c>
      <c r="K59" s="222"/>
      <c r="M59" s="282"/>
    </row>
    <row r="60" spans="1:13" ht="15" customHeight="1">
      <c r="A60" s="221" t="s">
        <v>11</v>
      </c>
      <c r="B60" s="222">
        <v>13589.897083705224</v>
      </c>
      <c r="C60" s="222">
        <v>13707.284742913136</v>
      </c>
      <c r="D60" s="222">
        <v>13937.137650029577</v>
      </c>
      <c r="E60" s="222">
        <v>14009.54594860597</v>
      </c>
      <c r="F60" s="222">
        <v>14472.320929338981</v>
      </c>
      <c r="G60" s="222">
        <v>14564.537230394732</v>
      </c>
      <c r="H60" s="222">
        <v>15035.055167739998</v>
      </c>
      <c r="K60" s="222"/>
      <c r="M60" s="282"/>
    </row>
    <row r="61" spans="1:13" ht="15" customHeight="1">
      <c r="A61" s="221" t="s">
        <v>12</v>
      </c>
      <c r="B61" s="222">
        <v>2927.56734253211</v>
      </c>
      <c r="C61" s="222">
        <v>2773.2346121868486</v>
      </c>
      <c r="D61" s="222">
        <v>2814.1764043559006</v>
      </c>
      <c r="E61" s="222">
        <v>2842.231899787698</v>
      </c>
      <c r="F61" s="222">
        <v>2850.9093321536366</v>
      </c>
      <c r="G61" s="222">
        <v>2904.049981725898</v>
      </c>
      <c r="H61" s="222">
        <v>2954.6686555200004</v>
      </c>
      <c r="K61" s="222"/>
      <c r="M61" s="282"/>
    </row>
    <row r="62" spans="1:13" ht="15" customHeight="1">
      <c r="A62" s="223" t="str">
        <f>HLOOKUP(INDICE!$F$2,Nombres!$C$3:$D$636,112,FALSE)</f>
        <v>Performing Loans under management (*)</v>
      </c>
      <c r="B62" s="224">
        <v>43848.72491661376</v>
      </c>
      <c r="C62" s="224">
        <v>44618.80716314071</v>
      </c>
      <c r="D62" s="224">
        <v>33062.85849530892</v>
      </c>
      <c r="E62" s="224">
        <v>33597.20843896063</v>
      </c>
      <c r="F62" s="224">
        <v>34027.04359445016</v>
      </c>
      <c r="G62" s="224">
        <v>34356.57646368557</v>
      </c>
      <c r="H62" s="224">
        <v>35597.785292399996</v>
      </c>
      <c r="K62" s="223"/>
      <c r="M62" s="282"/>
    </row>
    <row r="63" spans="1:11" ht="15.75">
      <c r="A63" s="216"/>
      <c r="B63" s="225">
        <f>+SUM(B57:B61)-B62</f>
        <v>0</v>
      </c>
      <c r="C63" s="225">
        <f aca="true" t="shared" si="8" ref="C63:H63">+SUM(C57:C61)-C62</f>
        <v>0</v>
      </c>
      <c r="D63" s="225">
        <f t="shared" si="8"/>
        <v>0</v>
      </c>
      <c r="E63" s="225">
        <f t="shared" si="8"/>
        <v>0</v>
      </c>
      <c r="F63" s="225">
        <f t="shared" si="8"/>
        <v>0</v>
      </c>
      <c r="G63" s="225">
        <f t="shared" si="8"/>
        <v>0</v>
      </c>
      <c r="H63" s="225">
        <f t="shared" si="8"/>
        <v>0</v>
      </c>
      <c r="K63" s="226"/>
    </row>
    <row r="64" spans="1:11" ht="15.75">
      <c r="A64" s="216"/>
      <c r="B64" s="216"/>
      <c r="C64" s="216"/>
      <c r="D64" s="216"/>
      <c r="E64" s="216"/>
      <c r="F64" s="216"/>
      <c r="K64" s="216"/>
    </row>
    <row r="65" spans="1:11" ht="15.75">
      <c r="A65" s="234" t="str">
        <f>HLOOKUP(INDICE!$F$2,Nombres!$C$3:$D$636,71,FALSE)</f>
        <v>(*) Excluding repos. </v>
      </c>
      <c r="B65" s="216"/>
      <c r="C65" s="216"/>
      <c r="D65" s="216"/>
      <c r="E65" s="216"/>
      <c r="F65" s="216"/>
      <c r="K65" s="216"/>
    </row>
    <row r="66" spans="1:11" ht="15.75">
      <c r="A66" s="216"/>
      <c r="B66" s="216"/>
      <c r="C66" s="216"/>
      <c r="D66" s="216"/>
      <c r="E66" s="216"/>
      <c r="F66" s="216"/>
      <c r="K66" s="216"/>
    </row>
    <row r="67" spans="1:11" ht="15.75">
      <c r="A67" s="216"/>
      <c r="B67" s="216"/>
      <c r="C67" s="216"/>
      <c r="D67" s="216"/>
      <c r="E67" s="216"/>
      <c r="F67" s="216"/>
      <c r="K67" s="216"/>
    </row>
    <row r="68" spans="1:11" ht="15.75">
      <c r="A68" s="216"/>
      <c r="B68" s="216"/>
      <c r="C68" s="216"/>
      <c r="D68" s="216"/>
      <c r="E68" s="216"/>
      <c r="F68" s="216"/>
      <c r="K68" s="216"/>
    </row>
    <row r="69" spans="1:11" ht="15.75">
      <c r="A69" s="216"/>
      <c r="B69" s="216"/>
      <c r="C69" s="216"/>
      <c r="D69" s="216"/>
      <c r="E69" s="216"/>
      <c r="F69" s="216"/>
      <c r="K69" s="216"/>
    </row>
    <row r="70" spans="1:11" ht="15.75">
      <c r="A70" s="216"/>
      <c r="B70" s="216"/>
      <c r="C70" s="216"/>
      <c r="D70" s="216"/>
      <c r="E70" s="216"/>
      <c r="F70" s="216"/>
      <c r="K70" s="216"/>
    </row>
    <row r="71" spans="1:11" ht="15.75">
      <c r="A71" s="216"/>
      <c r="B71" s="216"/>
      <c r="C71" s="216"/>
      <c r="D71" s="216"/>
      <c r="E71" s="216"/>
      <c r="F71" s="216"/>
      <c r="K71" s="216"/>
    </row>
    <row r="72" spans="1:11" ht="15.75">
      <c r="A72" s="216"/>
      <c r="B72" s="216"/>
      <c r="C72" s="216"/>
      <c r="D72" s="216"/>
      <c r="E72" s="216"/>
      <c r="F72" s="216"/>
      <c r="K72" s="216"/>
    </row>
    <row r="73" spans="1:11" ht="15.75">
      <c r="A73" s="216"/>
      <c r="B73" s="216"/>
      <c r="C73" s="216"/>
      <c r="D73" s="216"/>
      <c r="E73" s="216"/>
      <c r="F73" s="216"/>
      <c r="K73" s="216"/>
    </row>
    <row r="74" spans="1:11" ht="15.75">
      <c r="A74" s="216"/>
      <c r="B74" s="216"/>
      <c r="C74" s="216"/>
      <c r="D74" s="216"/>
      <c r="E74" s="216"/>
      <c r="F74" s="216"/>
      <c r="K74" s="216"/>
    </row>
    <row r="1000" ht="15">
      <c r="A1000" s="215" t="s">
        <v>406</v>
      </c>
    </row>
  </sheetData>
  <sheetProtection/>
  <mergeCells count="5">
    <mergeCell ref="B4:H4"/>
    <mergeCell ref="B17:H17"/>
    <mergeCell ref="B30:H30"/>
    <mergeCell ref="B43:H43"/>
    <mergeCell ref="B55:H55"/>
  </mergeCells>
  <conditionalFormatting sqref="B14:H14">
    <cfRule type="cellIs" priority="7" dxfId="92" operator="notBetween">
      <formula>0.5</formula>
      <formula>-0.5</formula>
    </cfRule>
  </conditionalFormatting>
  <conditionalFormatting sqref="B26:H26">
    <cfRule type="cellIs" priority="6" dxfId="92" operator="notBetween">
      <formula>0.5</formula>
      <formula>-0.5</formula>
    </cfRule>
  </conditionalFormatting>
  <conditionalFormatting sqref="B40:H40">
    <cfRule type="cellIs" priority="5" dxfId="92" operator="notBetween">
      <formula>0.5</formula>
      <formula>-0.5</formula>
    </cfRule>
  </conditionalFormatting>
  <conditionalFormatting sqref="C40:H40">
    <cfRule type="cellIs" priority="4" dxfId="92" operator="notBetween">
      <formula>0.5</formula>
      <formula>-0.5</formula>
    </cfRule>
  </conditionalFormatting>
  <conditionalFormatting sqref="B52">
    <cfRule type="cellIs" priority="3" dxfId="92" operator="notBetween">
      <formula>0.5</formula>
      <formula>-0.5</formula>
    </cfRule>
  </conditionalFormatting>
  <conditionalFormatting sqref="C52:H52">
    <cfRule type="cellIs" priority="2" dxfId="92" operator="notBetween">
      <formula>0.5</formula>
      <formula>-0.5</formula>
    </cfRule>
  </conditionalFormatting>
  <conditionalFormatting sqref="B63:H63">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2" sqref="A2"/>
    </sheetView>
  </sheetViews>
  <sheetFormatPr defaultColWidth="11.421875" defaultRowHeight="15"/>
  <cols>
    <col min="1" max="1" width="35.7109375" style="215" customWidth="1"/>
    <col min="2" max="2" width="12.28125" style="215" customWidth="1"/>
    <col min="3" max="8" width="11.421875" style="215" customWidth="1"/>
    <col min="9" max="10" width="5.7109375" style="215" customWidth="1"/>
    <col min="11" max="11" width="19.57421875" style="215" customWidth="1"/>
    <col min="12" max="16384" width="11.421875" style="215" customWidth="1"/>
  </cols>
  <sheetData>
    <row r="1" spans="1:8" ht="18">
      <c r="A1" s="212" t="str">
        <f>HLOOKUP(INDICE!$F$2,Nombres!$C$3:$D$636,120,FALSE)</f>
        <v>Breakdown of customer funds under management</v>
      </c>
      <c r="B1" s="213"/>
      <c r="C1" s="213"/>
      <c r="D1" s="213"/>
      <c r="E1" s="213"/>
      <c r="F1" s="213"/>
      <c r="G1" s="213"/>
      <c r="H1" s="213"/>
    </row>
    <row r="2" spans="1:6" ht="15.75">
      <c r="A2" s="217" t="str">
        <f>HLOOKUP(INDICE!$F$2,Nombres!$C$3:$D$636,73,FALSE)</f>
        <v>(Constant million euros)    </v>
      </c>
      <c r="B2" s="216"/>
      <c r="C2" s="216"/>
      <c r="D2" s="216"/>
      <c r="E2" s="216"/>
      <c r="F2" s="216"/>
    </row>
    <row r="3" spans="1:11" ht="15.75" customHeight="1">
      <c r="A3" s="219"/>
      <c r="B3" s="297" t="s">
        <v>28</v>
      </c>
      <c r="C3" s="297"/>
      <c r="D3" s="297"/>
      <c r="E3" s="297"/>
      <c r="F3" s="297"/>
      <c r="G3" s="297"/>
      <c r="H3" s="297"/>
      <c r="K3" s="235"/>
    </row>
    <row r="4" spans="1:8" ht="15.75">
      <c r="A4" s="220"/>
      <c r="B4" s="126">
        <f>+España!B30</f>
        <v>43190</v>
      </c>
      <c r="C4" s="126">
        <f>+España!C30</f>
        <v>43281</v>
      </c>
      <c r="D4" s="126">
        <f>+España!D30</f>
        <v>43373</v>
      </c>
      <c r="E4" s="126">
        <f>+España!E30</f>
        <v>43465</v>
      </c>
      <c r="F4" s="126">
        <f>+España!F30</f>
        <v>43555</v>
      </c>
      <c r="G4" s="126">
        <f>+España!G30</f>
        <v>43646</v>
      </c>
      <c r="H4" s="126">
        <f>+España!H30</f>
        <v>43738</v>
      </c>
    </row>
    <row r="5" spans="1:11" ht="15">
      <c r="A5" s="221" t="str">
        <f>HLOOKUP(INDICE!$F$2,Nombres!$C$3:$D$636,114,FALSE)</f>
        <v>Demand deposits</v>
      </c>
      <c r="B5" s="222">
        <v>129304.42357609</v>
      </c>
      <c r="C5" s="222">
        <v>135525.10324582</v>
      </c>
      <c r="D5" s="222">
        <v>138587.37332897</v>
      </c>
      <c r="E5" s="222">
        <v>142912.01774883998</v>
      </c>
      <c r="F5" s="222">
        <v>146518.01405199998</v>
      </c>
      <c r="G5" s="222">
        <v>148043.27083500003</v>
      </c>
      <c r="H5" s="222">
        <v>148621.77462</v>
      </c>
      <c r="K5" s="221"/>
    </row>
    <row r="6" spans="1:11" ht="15">
      <c r="A6" s="221" t="str">
        <f>HLOOKUP(INDICE!$F$2,Nombres!$C$3:$D$636,115,FALSE)</f>
        <v>Time deposits</v>
      </c>
      <c r="B6" s="222">
        <v>42990.94275679</v>
      </c>
      <c r="C6" s="222">
        <v>40187.772806789995</v>
      </c>
      <c r="D6" s="222">
        <v>38376.74606579</v>
      </c>
      <c r="E6" s="222">
        <v>40072.322983</v>
      </c>
      <c r="F6" s="222">
        <v>34765.118812999994</v>
      </c>
      <c r="G6" s="222">
        <v>32390.836124</v>
      </c>
      <c r="H6" s="222">
        <v>32031.019711</v>
      </c>
      <c r="K6" s="221"/>
    </row>
    <row r="7" spans="1:11" ht="15">
      <c r="A7" s="221" t="str">
        <f>HLOOKUP(INDICE!$F$2,Nombres!$C$3:$D$636,116,FALSE)</f>
        <v>Off balance sheet funds (*)</v>
      </c>
      <c r="B7" s="222">
        <v>63051.699436999996</v>
      </c>
      <c r="C7" s="222">
        <v>63877.72904699999</v>
      </c>
      <c r="D7" s="222">
        <v>64151.9993893</v>
      </c>
      <c r="E7" s="222">
        <v>62559.326802150004</v>
      </c>
      <c r="F7" s="222">
        <v>64225.05254432</v>
      </c>
      <c r="G7" s="222">
        <v>64370.19691501</v>
      </c>
      <c r="H7" s="222">
        <v>64728.44502035999</v>
      </c>
      <c r="K7" s="221"/>
    </row>
    <row r="8" spans="1:11" ht="15">
      <c r="A8" s="223" t="str">
        <f>HLOOKUP(INDICE!$F$2,Nombres!$C$3:$D$636,208,FALSE)</f>
        <v>Customer funds under management (**)</v>
      </c>
      <c r="B8" s="223">
        <v>235347.06576987996</v>
      </c>
      <c r="C8" s="223">
        <v>239590.60509961005</v>
      </c>
      <c r="D8" s="223">
        <v>241116.11878405997</v>
      </c>
      <c r="E8" s="223">
        <v>245543.66753399</v>
      </c>
      <c r="F8" s="223">
        <v>245508.18540932002</v>
      </c>
      <c r="G8" s="268">
        <v>244804.30387401</v>
      </c>
      <c r="H8" s="268">
        <v>245381.23935136</v>
      </c>
      <c r="K8" s="223"/>
    </row>
    <row r="9" spans="1:11" ht="15.75">
      <c r="A9" s="221" t="str">
        <f>HLOOKUP(INDICE!$F$2,Nombres!$C$3:$D$636,118,FALSE)</f>
        <v>Demand + Time deposits</v>
      </c>
      <c r="B9" s="227">
        <f>+B5+B6</f>
        <v>172295.36633288</v>
      </c>
      <c r="C9" s="227">
        <f aca="true" t="shared" si="0" ref="C9:H9">+C5+C6</f>
        <v>175712.87605261</v>
      </c>
      <c r="D9" s="227">
        <f t="shared" si="0"/>
        <v>176964.11939476</v>
      </c>
      <c r="E9" s="227">
        <f t="shared" si="0"/>
        <v>182984.34073183997</v>
      </c>
      <c r="F9" s="227">
        <f t="shared" si="0"/>
        <v>181283.132865</v>
      </c>
      <c r="G9" s="269">
        <f t="shared" si="0"/>
        <v>180434.10695900003</v>
      </c>
      <c r="H9" s="269">
        <f t="shared" si="0"/>
        <v>180652.794331</v>
      </c>
      <c r="K9" s="216"/>
    </row>
    <row r="10" spans="1:8" ht="15.75">
      <c r="A10" s="216"/>
      <c r="B10" s="225">
        <f>+B5+B6+B7-B8</f>
        <v>0</v>
      </c>
      <c r="C10" s="225">
        <f aca="true" t="shared" si="1" ref="C10:H10">+C5+C6+C7-C8</f>
        <v>0</v>
      </c>
      <c r="D10" s="225">
        <f t="shared" si="1"/>
        <v>0</v>
      </c>
      <c r="E10" s="225">
        <f t="shared" si="1"/>
        <v>0</v>
      </c>
      <c r="F10" s="225">
        <f t="shared" si="1"/>
        <v>0</v>
      </c>
      <c r="G10" s="225">
        <f t="shared" si="1"/>
        <v>0</v>
      </c>
      <c r="H10" s="225">
        <f t="shared" si="1"/>
        <v>0</v>
      </c>
    </row>
    <row r="11" spans="1:8" ht="15.75">
      <c r="A11" s="216"/>
      <c r="B11" s="236"/>
      <c r="C11" s="227"/>
      <c r="D11" s="227"/>
      <c r="E11" s="227"/>
      <c r="F11" s="227"/>
      <c r="G11" s="227"/>
      <c r="H11" s="227"/>
    </row>
    <row r="12" spans="1:11" ht="15.75">
      <c r="A12" s="219"/>
      <c r="B12" s="297" t="s">
        <v>33</v>
      </c>
      <c r="C12" s="297"/>
      <c r="D12" s="297"/>
      <c r="E12" s="297"/>
      <c r="F12" s="297"/>
      <c r="G12" s="297"/>
      <c r="H12" s="297"/>
      <c r="K12" s="235"/>
    </row>
    <row r="13" spans="1:8" ht="15.75">
      <c r="A13" s="220"/>
      <c r="B13" s="126">
        <f>+B$4</f>
        <v>43190</v>
      </c>
      <c r="C13" s="126">
        <f aca="true" t="shared" si="2" ref="C13:H13">+C$4</f>
        <v>43281</v>
      </c>
      <c r="D13" s="126">
        <f t="shared" si="2"/>
        <v>43373</v>
      </c>
      <c r="E13" s="126">
        <f t="shared" si="2"/>
        <v>43465</v>
      </c>
      <c r="F13" s="126">
        <f t="shared" si="2"/>
        <v>43555</v>
      </c>
      <c r="G13" s="126">
        <f t="shared" si="2"/>
        <v>43646</v>
      </c>
      <c r="H13" s="126">
        <f t="shared" si="2"/>
        <v>43738</v>
      </c>
    </row>
    <row r="14" spans="1:11" ht="15">
      <c r="A14" s="221" t="str">
        <f>HLOOKUP(INDICE!$F$2,Nombres!$C$3:$D$636,114,FALSE)</f>
        <v>Demand deposits</v>
      </c>
      <c r="B14" s="222">
        <v>49803.31857080052</v>
      </c>
      <c r="C14" s="222">
        <v>49060.14939417008</v>
      </c>
      <c r="D14" s="222">
        <v>48385.38314752859</v>
      </c>
      <c r="E14" s="222">
        <v>49454.38568801741</v>
      </c>
      <c r="F14" s="222">
        <v>49950.07379672708</v>
      </c>
      <c r="G14" s="222">
        <v>49279.75256870839</v>
      </c>
      <c r="H14" s="222">
        <v>51557.49374089</v>
      </c>
      <c r="K14" s="221"/>
    </row>
    <row r="15" spans="1:11" ht="15">
      <c r="A15" s="221" t="str">
        <f>HLOOKUP(INDICE!$F$2,Nombres!$C$3:$D$636,115,FALSE)</f>
        <v>Time deposits</v>
      </c>
      <c r="B15" s="222">
        <v>16415.238059297964</v>
      </c>
      <c r="C15" s="222">
        <v>16044.218117965072</v>
      </c>
      <c r="D15" s="222">
        <v>16371.137744015085</v>
      </c>
      <c r="E15" s="222">
        <v>17725.20012757914</v>
      </c>
      <c r="F15" s="222">
        <v>17283.654168529134</v>
      </c>
      <c r="G15" s="222">
        <v>16686.154799647375</v>
      </c>
      <c r="H15" s="222">
        <v>15816.07346814</v>
      </c>
      <c r="K15" s="221"/>
    </row>
    <row r="16" spans="1:11" ht="15">
      <c r="A16" s="221" t="str">
        <f>HLOOKUP(INDICE!$F$2,Nombres!$C$3:$D$636,116,FALSE)</f>
        <v>Off balance sheet funds (*)</v>
      </c>
      <c r="B16" s="222" t="s">
        <v>407</v>
      </c>
      <c r="C16" s="222" t="s">
        <v>407</v>
      </c>
      <c r="D16" s="222" t="s">
        <v>407</v>
      </c>
      <c r="E16" s="222" t="s">
        <v>407</v>
      </c>
      <c r="F16" s="222" t="s">
        <v>407</v>
      </c>
      <c r="G16" s="222" t="s">
        <v>407</v>
      </c>
      <c r="H16" s="222" t="s">
        <v>407</v>
      </c>
      <c r="K16" s="221"/>
    </row>
    <row r="17" spans="1:11" ht="15">
      <c r="A17" s="223" t="str">
        <f>HLOOKUP(INDICE!$F$2,Nombres!$C$3:$D$636,208,FALSE)</f>
        <v>Customer funds under management (**)</v>
      </c>
      <c r="B17" s="223">
        <v>66218.5566300985</v>
      </c>
      <c r="C17" s="223">
        <v>65104.367512135155</v>
      </c>
      <c r="D17" s="223">
        <v>64756.52089154366</v>
      </c>
      <c r="E17" s="223">
        <v>67179.58581559654</v>
      </c>
      <c r="F17" s="223">
        <v>67233.72796525621</v>
      </c>
      <c r="G17" s="268">
        <v>65965.90736835577</v>
      </c>
      <c r="H17" s="268">
        <v>67373.56720903</v>
      </c>
      <c r="K17" s="223"/>
    </row>
    <row r="18" spans="1:11" ht="15.75">
      <c r="A18" s="221" t="str">
        <f>HLOOKUP(INDICE!$F$2,Nombres!$C$3:$D$636,118,FALSE)</f>
        <v>Demand + Time deposits</v>
      </c>
      <c r="B18" s="227">
        <f>+B14+B15</f>
        <v>66218.55663009848</v>
      </c>
      <c r="C18" s="227">
        <f aca="true" t="shared" si="3" ref="C18:H18">+C14+C15</f>
        <v>65104.367512135155</v>
      </c>
      <c r="D18" s="227">
        <f t="shared" si="3"/>
        <v>64756.520891543674</v>
      </c>
      <c r="E18" s="227">
        <f t="shared" si="3"/>
        <v>67179.58581559655</v>
      </c>
      <c r="F18" s="227">
        <f t="shared" si="3"/>
        <v>67233.72796525621</v>
      </c>
      <c r="G18" s="269">
        <f t="shared" si="3"/>
        <v>65965.90736835577</v>
      </c>
      <c r="H18" s="269">
        <f t="shared" si="3"/>
        <v>67373.56720903</v>
      </c>
      <c r="K18" s="237"/>
    </row>
    <row r="19" spans="1:8" ht="15.75">
      <c r="A19" s="216"/>
      <c r="B19" s="225">
        <f>+B14+B15+B16-B17</f>
        <v>0</v>
      </c>
      <c r="C19" s="225">
        <f aca="true" t="shared" si="4" ref="C19:H19">+C14+C15+C16-C17</f>
        <v>0</v>
      </c>
      <c r="D19" s="225">
        <f t="shared" si="4"/>
        <v>0</v>
      </c>
      <c r="E19" s="225">
        <f t="shared" si="4"/>
        <v>0</v>
      </c>
      <c r="F19" s="225">
        <f t="shared" si="4"/>
        <v>0</v>
      </c>
      <c r="G19" s="225">
        <f t="shared" si="4"/>
        <v>0</v>
      </c>
      <c r="H19" s="225">
        <f t="shared" si="4"/>
        <v>0</v>
      </c>
    </row>
    <row r="20" spans="1:8" ht="15.75">
      <c r="A20" s="216"/>
      <c r="B20" s="226"/>
      <c r="C20" s="226"/>
      <c r="D20" s="226"/>
      <c r="E20" s="226"/>
      <c r="F20" s="226"/>
      <c r="G20" s="226"/>
      <c r="H20" s="226"/>
    </row>
    <row r="21" spans="1:11" ht="15.75" customHeight="1">
      <c r="A21" s="219"/>
      <c r="B21" s="297" t="s">
        <v>340</v>
      </c>
      <c r="C21" s="297"/>
      <c r="D21" s="297"/>
      <c r="E21" s="297"/>
      <c r="F21" s="297"/>
      <c r="G21" s="297"/>
      <c r="H21" s="297"/>
      <c r="K21" s="235"/>
    </row>
    <row r="22" spans="1:8" ht="15.75">
      <c r="A22" s="220"/>
      <c r="B22" s="126">
        <f>+B$4</f>
        <v>43190</v>
      </c>
      <c r="C22" s="126">
        <f aca="true" t="shared" si="5" ref="C22:H22">+C$4</f>
        <v>43281</v>
      </c>
      <c r="D22" s="126">
        <f t="shared" si="5"/>
        <v>43373</v>
      </c>
      <c r="E22" s="126">
        <f t="shared" si="5"/>
        <v>43465</v>
      </c>
      <c r="F22" s="126">
        <f t="shared" si="5"/>
        <v>43555</v>
      </c>
      <c r="G22" s="126">
        <f t="shared" si="5"/>
        <v>43646</v>
      </c>
      <c r="H22" s="126">
        <f t="shared" si="5"/>
        <v>43738</v>
      </c>
    </row>
    <row r="23" spans="1:11" ht="15">
      <c r="A23" s="221" t="str">
        <f>HLOOKUP(INDICE!$F$2,Nombres!$C$3:$D$636,114,FALSE)</f>
        <v>Demand deposits</v>
      </c>
      <c r="B23" s="222">
        <v>37487.19519880433</v>
      </c>
      <c r="C23" s="222">
        <v>39921.84015332104</v>
      </c>
      <c r="D23" s="222">
        <v>37745.46383175837</v>
      </c>
      <c r="E23" s="222">
        <v>40149.628175571524</v>
      </c>
      <c r="F23" s="222">
        <v>39068.402526005244</v>
      </c>
      <c r="G23" s="222">
        <v>41080.745427367234</v>
      </c>
      <c r="H23" s="222">
        <v>39164.19809147374</v>
      </c>
      <c r="I23" s="222"/>
      <c r="K23" s="221"/>
    </row>
    <row r="24" spans="1:11" ht="15">
      <c r="A24" s="221" t="str">
        <f>HLOOKUP(INDICE!$F$2,Nombres!$C$3:$D$636,115,FALSE)</f>
        <v>Time deposits</v>
      </c>
      <c r="B24" s="222">
        <v>9864.271180381018</v>
      </c>
      <c r="C24" s="222">
        <v>10294.106104901934</v>
      </c>
      <c r="D24" s="222">
        <v>10645.24008544195</v>
      </c>
      <c r="E24" s="222">
        <v>10354.368287413832</v>
      </c>
      <c r="F24" s="222">
        <v>10738.104556123462</v>
      </c>
      <c r="G24" s="222">
        <v>11695.628106009828</v>
      </c>
      <c r="H24" s="222">
        <v>12604.034746308429</v>
      </c>
      <c r="I24" s="222"/>
      <c r="K24" s="221"/>
    </row>
    <row r="25" spans="1:11" ht="15">
      <c r="A25" s="221" t="str">
        <f>HLOOKUP(INDICE!$F$2,Nombres!$C$3:$D$636,116,FALSE)</f>
        <v>Off balance sheet funds (*)</v>
      </c>
      <c r="B25" s="222">
        <v>21094.305921962594</v>
      </c>
      <c r="C25" s="222">
        <v>22271.918952320593</v>
      </c>
      <c r="D25" s="222">
        <v>22727.33650684098</v>
      </c>
      <c r="E25" s="222">
        <v>21717.324826296397</v>
      </c>
      <c r="F25" s="222">
        <v>23061.893053562082</v>
      </c>
      <c r="G25" s="222">
        <v>23893.575848473934</v>
      </c>
      <c r="H25" s="222">
        <v>24230.47441255959</v>
      </c>
      <c r="I25" s="222"/>
      <c r="K25" s="221"/>
    </row>
    <row r="26" spans="1:11" ht="15">
      <c r="A26" s="223" t="str">
        <f>HLOOKUP(INDICE!$F$2,Nombres!$C$3:$D$636,208,FALSE)</f>
        <v>Customer funds under management (**)</v>
      </c>
      <c r="B26" s="223">
        <v>68445.77230114794</v>
      </c>
      <c r="C26" s="223">
        <v>72487.86521054356</v>
      </c>
      <c r="D26" s="223">
        <v>71118.04042404129</v>
      </c>
      <c r="E26" s="223">
        <v>72221.32128928175</v>
      </c>
      <c r="F26" s="223">
        <v>72868.40013569078</v>
      </c>
      <c r="G26" s="223">
        <v>76669.949381851</v>
      </c>
      <c r="H26" s="223">
        <v>75998.70725034177</v>
      </c>
      <c r="I26" s="222"/>
      <c r="K26" s="221"/>
    </row>
    <row r="27" spans="1:11" ht="15.75">
      <c r="A27" s="221" t="str">
        <f>HLOOKUP(INDICE!$F$2,Nombres!$C$3:$D$636,118,FALSE)</f>
        <v>Demand + Time deposits</v>
      </c>
      <c r="B27" s="227">
        <f>+B23+B24</f>
        <v>47351.466379185345</v>
      </c>
      <c r="C27" s="227">
        <f aca="true" t="shared" si="6" ref="C27:H27">+C23+C24</f>
        <v>50215.946258222975</v>
      </c>
      <c r="D27" s="227">
        <f t="shared" si="6"/>
        <v>48390.70391720031</v>
      </c>
      <c r="E27" s="227">
        <f t="shared" si="6"/>
        <v>50503.99646298536</v>
      </c>
      <c r="F27" s="227">
        <f t="shared" si="6"/>
        <v>49806.50708212871</v>
      </c>
      <c r="G27" s="269">
        <f t="shared" si="6"/>
        <v>52776.37353337706</v>
      </c>
      <c r="H27" s="269">
        <f t="shared" si="6"/>
        <v>51768.23283778217</v>
      </c>
      <c r="I27" s="223"/>
      <c r="K27" s="223"/>
    </row>
    <row r="28" spans="1:8" ht="15.75">
      <c r="A28" s="232" t="str">
        <f>HLOOKUP(INDICE!$F$2,Nombres!$C$3:$D$636,205,FALSE)</f>
        <v>According to Local GAAP(***) </v>
      </c>
      <c r="B28" s="225">
        <f>+B23+B24+B25-B26</f>
        <v>0</v>
      </c>
      <c r="C28" s="225">
        <f aca="true" t="shared" si="7" ref="C28:H28">+C23+C24+C25-C26</f>
        <v>0</v>
      </c>
      <c r="D28" s="225">
        <f t="shared" si="7"/>
        <v>0</v>
      </c>
      <c r="E28" s="225">
        <f t="shared" si="7"/>
        <v>0</v>
      </c>
      <c r="F28" s="225">
        <f t="shared" si="7"/>
        <v>0</v>
      </c>
      <c r="G28" s="225">
        <f t="shared" si="7"/>
        <v>0</v>
      </c>
      <c r="H28" s="225">
        <f t="shared" si="7"/>
        <v>0</v>
      </c>
    </row>
    <row r="29" spans="1:11" ht="15.75">
      <c r="A29" s="216"/>
      <c r="B29" s="227"/>
      <c r="C29" s="227"/>
      <c r="D29" s="227"/>
      <c r="E29" s="227"/>
      <c r="F29" s="227"/>
      <c r="K29" s="235"/>
    </row>
    <row r="30" spans="1:11" ht="15.75" customHeight="1">
      <c r="A30" s="219"/>
      <c r="B30" s="297" t="s">
        <v>37</v>
      </c>
      <c r="C30" s="297"/>
      <c r="D30" s="297"/>
      <c r="E30" s="297"/>
      <c r="F30" s="297"/>
      <c r="G30" s="297"/>
      <c r="H30" s="297"/>
      <c r="K30" s="235"/>
    </row>
    <row r="31" spans="1:8" ht="15.75">
      <c r="A31" s="220"/>
      <c r="B31" s="126">
        <f>+B$4</f>
        <v>43190</v>
      </c>
      <c r="C31" s="126">
        <f aca="true" t="shared" si="8" ref="C31:H31">+C$4</f>
        <v>43281</v>
      </c>
      <c r="D31" s="126">
        <f t="shared" si="8"/>
        <v>43373</v>
      </c>
      <c r="E31" s="126">
        <f t="shared" si="8"/>
        <v>43465</v>
      </c>
      <c r="F31" s="126">
        <f t="shared" si="8"/>
        <v>43555</v>
      </c>
      <c r="G31" s="126">
        <f t="shared" si="8"/>
        <v>43646</v>
      </c>
      <c r="H31" s="126">
        <f t="shared" si="8"/>
        <v>43738</v>
      </c>
    </row>
    <row r="32" spans="1:11" ht="15">
      <c r="A32" s="221" t="str">
        <f>HLOOKUP(INDICE!$F$2,Nombres!$C$3:$D$636,114,FALSE)</f>
        <v>Demand deposits</v>
      </c>
      <c r="B32" s="222">
        <v>10649.133070715847</v>
      </c>
      <c r="C32" s="222">
        <v>11934.791340790292</v>
      </c>
      <c r="D32" s="222">
        <v>14301.469587043268</v>
      </c>
      <c r="E32" s="222">
        <v>12345.659039630777</v>
      </c>
      <c r="F32" s="222">
        <v>14211.068247489371</v>
      </c>
      <c r="G32" s="222">
        <v>15004.105940629184</v>
      </c>
      <c r="H32" s="222">
        <v>15237.220000000001</v>
      </c>
      <c r="K32" s="221"/>
    </row>
    <row r="33" spans="1:11" ht="15">
      <c r="A33" s="221" t="str">
        <f>HLOOKUP(INDICE!$F$2,Nombres!$C$3:$D$636,115,FALSE)</f>
        <v>Time deposits</v>
      </c>
      <c r="B33" s="222">
        <v>23713.444296547183</v>
      </c>
      <c r="C33" s="222">
        <v>24788.30490194259</v>
      </c>
      <c r="D33" s="222">
        <v>29687.67312844903</v>
      </c>
      <c r="E33" s="222">
        <v>26965.60581064115</v>
      </c>
      <c r="F33" s="222">
        <v>27617.827845743344</v>
      </c>
      <c r="G33" s="222">
        <v>27119.558445145045</v>
      </c>
      <c r="H33" s="222">
        <v>26410.262000000002</v>
      </c>
      <c r="K33" s="221"/>
    </row>
    <row r="34" spans="1:11" ht="15">
      <c r="A34" s="221" t="str">
        <f>HLOOKUP(INDICE!$F$2,Nombres!$C$3:$D$636,116,FALSE)</f>
        <v>Off balance sheet funds (*)</v>
      </c>
      <c r="B34" s="222">
        <v>3075.020888446472</v>
      </c>
      <c r="C34" s="222">
        <v>2986.2205308572984</v>
      </c>
      <c r="D34" s="222">
        <v>2926.177064802655</v>
      </c>
      <c r="E34" s="222">
        <v>2851.527242980677</v>
      </c>
      <c r="F34" s="222">
        <v>3476.9421221085945</v>
      </c>
      <c r="G34" s="222">
        <v>3184.963117774124</v>
      </c>
      <c r="H34" s="222">
        <v>3460.4300000000003</v>
      </c>
      <c r="K34" s="221"/>
    </row>
    <row r="35" spans="1:11" ht="15">
      <c r="A35" s="223" t="str">
        <f>HLOOKUP(INDICE!$F$2,Nombres!$C$3:$D$636,208,FALSE)</f>
        <v>Customer funds under management (**)</v>
      </c>
      <c r="B35" s="223">
        <v>37437.5982557095</v>
      </c>
      <c r="C35" s="223">
        <v>39709.31677359018</v>
      </c>
      <c r="D35" s="223">
        <v>46915.31978029496</v>
      </c>
      <c r="E35" s="223">
        <v>42162.7920932526</v>
      </c>
      <c r="F35" s="223">
        <v>45305.838215341304</v>
      </c>
      <c r="G35" s="268">
        <v>45308.627503548356</v>
      </c>
      <c r="H35" s="268">
        <v>45107.912</v>
      </c>
      <c r="K35" s="223"/>
    </row>
    <row r="36" spans="1:8" ht="15.75">
      <c r="A36" s="221" t="str">
        <f>HLOOKUP(INDICE!$F$2,Nombres!$C$3:$D$636,118,FALSE)</f>
        <v>Demand + Time deposits</v>
      </c>
      <c r="B36" s="227">
        <f>+B32+B33</f>
        <v>34362.57736726303</v>
      </c>
      <c r="C36" s="227">
        <f aca="true" t="shared" si="9" ref="C36:H36">+C32+C33</f>
        <v>36723.09624273288</v>
      </c>
      <c r="D36" s="227">
        <f t="shared" si="9"/>
        <v>43989.1427154923</v>
      </c>
      <c r="E36" s="227">
        <f t="shared" si="9"/>
        <v>39311.264850271924</v>
      </c>
      <c r="F36" s="227">
        <f t="shared" si="9"/>
        <v>41828.89609323272</v>
      </c>
      <c r="G36" s="269">
        <f t="shared" si="9"/>
        <v>42123.66438577423</v>
      </c>
      <c r="H36" s="269">
        <f t="shared" si="9"/>
        <v>41647.482</v>
      </c>
    </row>
    <row r="37" spans="1:8" ht="15.75">
      <c r="A37" s="216"/>
      <c r="B37" s="225">
        <f>+B32+B33+B34-B35</f>
        <v>0</v>
      </c>
      <c r="C37" s="225">
        <f aca="true" t="shared" si="10" ref="C37:H37">+C32+C33+C34-C35</f>
        <v>0</v>
      </c>
      <c r="D37" s="225">
        <f t="shared" si="10"/>
        <v>0</v>
      </c>
      <c r="E37" s="225">
        <f t="shared" si="10"/>
        <v>0</v>
      </c>
      <c r="F37" s="225">
        <f t="shared" si="10"/>
        <v>0</v>
      </c>
      <c r="G37" s="225">
        <f t="shared" si="10"/>
        <v>0</v>
      </c>
      <c r="H37" s="225">
        <f t="shared" si="10"/>
        <v>0</v>
      </c>
    </row>
    <row r="38" spans="1:8" ht="15">
      <c r="A38" s="223"/>
      <c r="B38" s="223"/>
      <c r="C38" s="223"/>
      <c r="D38" s="223"/>
      <c r="E38" s="223"/>
      <c r="F38" s="223"/>
      <c r="G38" s="223"/>
      <c r="H38" s="223"/>
    </row>
    <row r="39" spans="1:11" ht="15.75" customHeight="1">
      <c r="A39" s="219"/>
      <c r="B39" s="297" t="s">
        <v>39</v>
      </c>
      <c r="C39" s="297"/>
      <c r="D39" s="297"/>
      <c r="E39" s="297"/>
      <c r="F39" s="297"/>
      <c r="G39" s="297"/>
      <c r="H39" s="297"/>
      <c r="K39" s="235"/>
    </row>
    <row r="40" spans="1:8" ht="15.75">
      <c r="A40" s="220"/>
      <c r="B40" s="126">
        <f>+B$4</f>
        <v>43190</v>
      </c>
      <c r="C40" s="126">
        <f aca="true" t="shared" si="11" ref="C40:H40">+C$4</f>
        <v>43281</v>
      </c>
      <c r="D40" s="126">
        <f t="shared" si="11"/>
        <v>43373</v>
      </c>
      <c r="E40" s="126">
        <f t="shared" si="11"/>
        <v>43465</v>
      </c>
      <c r="F40" s="126">
        <f t="shared" si="11"/>
        <v>43555</v>
      </c>
      <c r="G40" s="126">
        <f t="shared" si="11"/>
        <v>43646</v>
      </c>
      <c r="H40" s="126">
        <f t="shared" si="11"/>
        <v>43738</v>
      </c>
    </row>
    <row r="41" spans="1:11" ht="15">
      <c r="A41" s="221" t="s">
        <v>8</v>
      </c>
      <c r="B41" s="222">
        <v>3261.3592544195385</v>
      </c>
      <c r="C41" s="222">
        <v>3705.957431628479</v>
      </c>
      <c r="D41" s="222">
        <v>4534.284250560797</v>
      </c>
      <c r="E41" s="222">
        <v>4694.977949566013</v>
      </c>
      <c r="F41" s="222">
        <v>5269.643061626977</v>
      </c>
      <c r="G41" s="222">
        <v>5376.894743471379</v>
      </c>
      <c r="H41" s="222">
        <v>5049.538813939999</v>
      </c>
      <c r="K41" s="221"/>
    </row>
    <row r="42" spans="1:11" ht="15">
      <c r="A42" s="221" t="s">
        <v>9</v>
      </c>
      <c r="B42" s="222">
        <v>9954.397414888004</v>
      </c>
      <c r="C42" s="222">
        <v>10417.693487085688</v>
      </c>
      <c r="D42" s="222">
        <v>13.632857682042875</v>
      </c>
      <c r="E42" s="222">
        <v>10.255996802230708</v>
      </c>
      <c r="F42" s="222">
        <v>10.464280971876985</v>
      </c>
      <c r="G42" s="222">
        <v>7.116124192364699</v>
      </c>
      <c r="H42" s="222">
        <v>9.171999999999999</v>
      </c>
      <c r="K42" s="221"/>
    </row>
    <row r="43" spans="1:11" ht="15">
      <c r="A43" s="221" t="s">
        <v>10</v>
      </c>
      <c r="B43" s="222">
        <v>12988.04847952878</v>
      </c>
      <c r="C43" s="222">
        <v>13282.134348375239</v>
      </c>
      <c r="D43" s="222">
        <v>13632.944686031798</v>
      </c>
      <c r="E43" s="222">
        <v>13740.446594713834</v>
      </c>
      <c r="F43" s="222">
        <v>13549.652058018568</v>
      </c>
      <c r="G43" s="222">
        <v>13664.003382093362</v>
      </c>
      <c r="H43" s="222">
        <v>14037.017322639997</v>
      </c>
      <c r="K43" s="221"/>
    </row>
    <row r="44" spans="1:11" ht="15">
      <c r="A44" s="221" t="s">
        <v>11</v>
      </c>
      <c r="B44" s="222">
        <v>14452.524790987585</v>
      </c>
      <c r="C44" s="222">
        <v>14263.427148324117</v>
      </c>
      <c r="D44" s="222">
        <v>15240.451770379048</v>
      </c>
      <c r="E44" s="222">
        <v>15224.25911220792</v>
      </c>
      <c r="F44" s="222">
        <v>16275.600525112615</v>
      </c>
      <c r="G44" s="222">
        <v>15745.71389333529</v>
      </c>
      <c r="H44" s="222">
        <v>16431.19344663</v>
      </c>
      <c r="K44" s="221"/>
    </row>
    <row r="45" spans="1:11" ht="15">
      <c r="A45" s="221" t="s">
        <v>12</v>
      </c>
      <c r="B45" s="222">
        <v>12417.168034521816</v>
      </c>
      <c r="C45" s="222">
        <v>12159.633963799653</v>
      </c>
      <c r="D45" s="222">
        <v>12474.81721733409</v>
      </c>
      <c r="E45" s="222">
        <v>12613.360659710332</v>
      </c>
      <c r="F45" s="222">
        <v>12901.736720432466</v>
      </c>
      <c r="G45" s="222">
        <v>13346.287599382898</v>
      </c>
      <c r="H45" s="222">
        <v>13622.64907988</v>
      </c>
      <c r="K45" s="221"/>
    </row>
    <row r="46" spans="1:11" ht="15">
      <c r="A46" s="223" t="str">
        <f>HLOOKUP(INDICE!$F$2,Nombres!$C$3:$D$636,208,FALSE)</f>
        <v>Customer funds under management (**)</v>
      </c>
      <c r="B46" s="223">
        <f>+SUM(B41:B45)</f>
        <v>53073.49797434572</v>
      </c>
      <c r="C46" s="223">
        <f aca="true" t="shared" si="12" ref="C46:H46">+SUM(C41:C45)</f>
        <v>53828.84637921318</v>
      </c>
      <c r="D46" s="223">
        <f t="shared" si="12"/>
        <v>45896.13078198777</v>
      </c>
      <c r="E46" s="223">
        <f t="shared" si="12"/>
        <v>46283.300313000334</v>
      </c>
      <c r="F46" s="223">
        <f t="shared" si="12"/>
        <v>48007.09664616251</v>
      </c>
      <c r="G46" s="223">
        <f t="shared" si="12"/>
        <v>48140.0157424753</v>
      </c>
      <c r="H46" s="223">
        <f t="shared" si="12"/>
        <v>49149.570663089995</v>
      </c>
      <c r="K46" s="223"/>
    </row>
    <row r="47" spans="1:8" ht="15.75">
      <c r="A47" s="216"/>
      <c r="B47" s="225">
        <f>+B41+B42+B43+B44+B45-B46</f>
        <v>0</v>
      </c>
      <c r="C47" s="225">
        <f aca="true" t="shared" si="13" ref="C47:H47">+C41+C42+C43+C44+C45-C46</f>
        <v>0</v>
      </c>
      <c r="D47" s="225">
        <f t="shared" si="13"/>
        <v>0</v>
      </c>
      <c r="E47" s="225">
        <f t="shared" si="13"/>
        <v>0</v>
      </c>
      <c r="F47" s="225">
        <f t="shared" si="13"/>
        <v>0</v>
      </c>
      <c r="G47" s="225">
        <f t="shared" si="13"/>
        <v>0</v>
      </c>
      <c r="H47" s="225">
        <f t="shared" si="13"/>
        <v>0</v>
      </c>
    </row>
    <row r="50" ht="15">
      <c r="A50" s="234" t="str">
        <f>HLOOKUP(INDICE!$F$2,Nombres!$C$3:$D$636,206,FALSE)</f>
        <v>Includes mutual funds, pension funds and other off-balance sheet funds. (*) </v>
      </c>
    </row>
    <row r="51" ht="15">
      <c r="A51" s="234" t="str">
        <f>HLOOKUP(INDICE!$F$2,Nombres!$C$3:$D$636,207,FALSE)</f>
        <v>Excluding repos  (**)</v>
      </c>
    </row>
    <row r="1000" ht="15">
      <c r="A1000" s="215" t="s">
        <v>406</v>
      </c>
    </row>
  </sheetData>
  <sheetProtection/>
  <mergeCells count="5">
    <mergeCell ref="B3:H3"/>
    <mergeCell ref="B12:H12"/>
    <mergeCell ref="B21:H21"/>
    <mergeCell ref="B30:H30"/>
    <mergeCell ref="B39:H39"/>
  </mergeCells>
  <conditionalFormatting sqref="B10:H10">
    <cfRule type="cellIs" priority="5" dxfId="92" operator="notBetween">
      <formula>0.5</formula>
      <formula>-0.5</formula>
    </cfRule>
  </conditionalFormatting>
  <conditionalFormatting sqref="B19:H19">
    <cfRule type="cellIs" priority="4" dxfId="92" operator="notBetween">
      <formula>0.5</formula>
      <formula>-0.5</formula>
    </cfRule>
  </conditionalFormatting>
  <conditionalFormatting sqref="B28:H28">
    <cfRule type="cellIs" priority="3" dxfId="92" operator="notBetween">
      <formula>0.5</formula>
      <formula>-0.5</formula>
    </cfRule>
  </conditionalFormatting>
  <conditionalFormatting sqref="B37:H37">
    <cfRule type="cellIs" priority="2" dxfId="92" operator="notBetween">
      <formula>0.5</formula>
      <formula>-0.5</formula>
    </cfRule>
  </conditionalFormatting>
  <conditionalFormatting sqref="B47:H47">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I1000"/>
  <sheetViews>
    <sheetView showGridLines="0" zoomScale="80" zoomScaleNormal="80" zoomScalePageLayoutView="0" workbookViewId="0" topLeftCell="A169">
      <selection activeCell="D195" sqref="D195"/>
    </sheetView>
  </sheetViews>
  <sheetFormatPr defaultColWidth="11.421875" defaultRowHeight="15"/>
  <cols>
    <col min="2" max="2" width="6.421875" style="0" customWidth="1"/>
    <col min="3" max="3" width="104.28125" style="0" customWidth="1"/>
    <col min="4" max="4" width="54.421875" style="0" customWidth="1"/>
  </cols>
  <sheetData>
    <row r="1" spans="1:4" ht="15">
      <c r="A1" s="238"/>
      <c r="B1" s="238"/>
      <c r="C1" s="239"/>
      <c r="D1" s="239"/>
    </row>
    <row r="2" spans="1:4" ht="15">
      <c r="A2" s="238"/>
      <c r="B2" s="238" t="s">
        <v>13</v>
      </c>
      <c r="C2" s="239" t="s">
        <v>14</v>
      </c>
      <c r="D2" s="239" t="s">
        <v>15</v>
      </c>
    </row>
    <row r="3" spans="1:9" ht="19.5">
      <c r="A3" s="238"/>
      <c r="B3" s="238">
        <v>1</v>
      </c>
      <c r="C3" s="240">
        <v>7</v>
      </c>
      <c r="D3" s="240">
        <v>8</v>
      </c>
      <c r="I3" s="241" t="s">
        <v>0</v>
      </c>
    </row>
    <row r="4" spans="2:9" ht="19.5">
      <c r="B4">
        <v>2</v>
      </c>
      <c r="C4" s="242" t="s">
        <v>16</v>
      </c>
      <c r="D4" s="242" t="s">
        <v>17</v>
      </c>
      <c r="I4" s="241" t="s">
        <v>18</v>
      </c>
    </row>
    <row r="5" spans="2:9" ht="19.5">
      <c r="B5">
        <v>3</v>
      </c>
      <c r="C5" s="242" t="s">
        <v>19</v>
      </c>
      <c r="D5" s="242" t="s">
        <v>20</v>
      </c>
      <c r="I5" s="241" t="s">
        <v>21</v>
      </c>
    </row>
    <row r="6" spans="2:4" ht="15.75">
      <c r="B6">
        <v>4</v>
      </c>
      <c r="C6" s="242" t="s">
        <v>22</v>
      </c>
      <c r="D6" s="242" t="s">
        <v>23</v>
      </c>
    </row>
    <row r="7" spans="2:4" ht="15.75">
      <c r="B7">
        <v>5</v>
      </c>
      <c r="C7" s="242" t="s">
        <v>24</v>
      </c>
      <c r="D7" s="242" t="s">
        <v>25</v>
      </c>
    </row>
    <row r="8" spans="2:4" ht="15.75">
      <c r="B8">
        <v>6</v>
      </c>
      <c r="C8" s="242" t="s">
        <v>26</v>
      </c>
      <c r="D8" s="242" t="s">
        <v>27</v>
      </c>
    </row>
    <row r="9" spans="2:4" ht="15.75">
      <c r="B9">
        <v>7</v>
      </c>
      <c r="C9" s="242" t="s">
        <v>28</v>
      </c>
      <c r="D9" s="242" t="s">
        <v>29</v>
      </c>
    </row>
    <row r="10" spans="2:4" ht="15.75">
      <c r="B10">
        <v>8</v>
      </c>
      <c r="C10" s="242" t="s">
        <v>30</v>
      </c>
      <c r="D10" s="242" t="s">
        <v>31</v>
      </c>
    </row>
    <row r="11" spans="2:4" ht="15.75">
      <c r="B11">
        <v>9</v>
      </c>
      <c r="C11" s="242" t="s">
        <v>32</v>
      </c>
      <c r="D11" s="242" t="s">
        <v>32</v>
      </c>
    </row>
    <row r="12" spans="2:4" ht="15.75">
      <c r="B12">
        <v>10</v>
      </c>
      <c r="C12" s="243" t="s">
        <v>33</v>
      </c>
      <c r="D12" s="243" t="s">
        <v>34</v>
      </c>
    </row>
    <row r="13" spans="2:4" ht="15.75">
      <c r="B13">
        <v>11</v>
      </c>
      <c r="C13" s="243" t="s">
        <v>35</v>
      </c>
      <c r="D13" s="243" t="s">
        <v>36</v>
      </c>
    </row>
    <row r="14" spans="2:4" ht="15.75">
      <c r="B14">
        <v>12</v>
      </c>
      <c r="C14" s="243" t="s">
        <v>37</v>
      </c>
      <c r="D14" s="243" t="s">
        <v>38</v>
      </c>
    </row>
    <row r="15" spans="2:4" ht="15.75">
      <c r="B15">
        <v>13</v>
      </c>
      <c r="C15" s="243" t="s">
        <v>39</v>
      </c>
      <c r="D15" s="243" t="s">
        <v>40</v>
      </c>
    </row>
    <row r="16" spans="2:4" ht="15.75">
      <c r="B16">
        <v>14</v>
      </c>
      <c r="C16" s="243" t="s">
        <v>8</v>
      </c>
      <c r="D16" s="243" t="s">
        <v>8</v>
      </c>
    </row>
    <row r="17" spans="2:4" ht="15.75">
      <c r="B17">
        <v>15</v>
      </c>
      <c r="C17" s="243" t="s">
        <v>9</v>
      </c>
      <c r="D17" s="243" t="s">
        <v>9</v>
      </c>
    </row>
    <row r="18" spans="2:4" ht="15.75">
      <c r="B18">
        <v>16</v>
      </c>
      <c r="C18" s="243" t="s">
        <v>10</v>
      </c>
      <c r="D18" s="243" t="s">
        <v>10</v>
      </c>
    </row>
    <row r="19" spans="2:4" ht="15.75">
      <c r="B19">
        <v>17</v>
      </c>
      <c r="C19" s="243" t="s">
        <v>11</v>
      </c>
      <c r="D19" s="243" t="s">
        <v>41</v>
      </c>
    </row>
    <row r="20" spans="2:4" ht="15.75">
      <c r="B20">
        <v>18</v>
      </c>
      <c r="C20" s="243" t="s">
        <v>42</v>
      </c>
      <c r="D20" s="243" t="s">
        <v>43</v>
      </c>
    </row>
    <row r="21" spans="2:4" ht="15.75">
      <c r="B21">
        <v>19</v>
      </c>
      <c r="C21" s="243" t="s">
        <v>44</v>
      </c>
      <c r="D21" s="243" t="s">
        <v>45</v>
      </c>
    </row>
    <row r="22" spans="2:4" ht="15.75">
      <c r="B22">
        <v>20</v>
      </c>
      <c r="C22" s="243" t="s">
        <v>46</v>
      </c>
      <c r="D22" s="243" t="s">
        <v>47</v>
      </c>
    </row>
    <row r="23" spans="2:4" ht="15.75">
      <c r="B23">
        <v>21</v>
      </c>
      <c r="C23" s="243" t="s">
        <v>48</v>
      </c>
      <c r="D23" s="243" t="s">
        <v>48</v>
      </c>
    </row>
    <row r="24" spans="2:4" ht="15.75">
      <c r="B24">
        <v>22</v>
      </c>
      <c r="C24" s="243" t="s">
        <v>49</v>
      </c>
      <c r="D24" s="243" t="s">
        <v>50</v>
      </c>
    </row>
    <row r="25" spans="2:4" ht="15.75">
      <c r="B25">
        <v>23</v>
      </c>
      <c r="C25" s="243" t="s">
        <v>51</v>
      </c>
      <c r="D25" s="243" t="s">
        <v>52</v>
      </c>
    </row>
    <row r="26" spans="2:4" ht="15.75">
      <c r="B26">
        <v>24</v>
      </c>
      <c r="C26" s="243" t="s">
        <v>53</v>
      </c>
      <c r="D26" s="243" t="s">
        <v>54</v>
      </c>
    </row>
    <row r="27" spans="2:4" ht="15.75">
      <c r="B27">
        <v>25</v>
      </c>
      <c r="C27" s="243" t="s">
        <v>55</v>
      </c>
      <c r="D27" s="243" t="s">
        <v>56</v>
      </c>
    </row>
    <row r="28" spans="2:4" ht="15.75">
      <c r="B28">
        <v>26</v>
      </c>
      <c r="C28" s="243" t="s">
        <v>57</v>
      </c>
      <c r="D28" s="243" t="s">
        <v>58</v>
      </c>
    </row>
    <row r="29" spans="2:4" ht="15.75">
      <c r="B29">
        <v>27</v>
      </c>
      <c r="C29" s="243" t="s">
        <v>59</v>
      </c>
      <c r="D29" s="243" t="s">
        <v>60</v>
      </c>
    </row>
    <row r="30" spans="2:4" ht="15.75">
      <c r="B30">
        <v>28</v>
      </c>
      <c r="C30" s="243" t="s">
        <v>61</v>
      </c>
      <c r="D30" s="243" t="s">
        <v>62</v>
      </c>
    </row>
    <row r="31" spans="2:4" ht="15.75">
      <c r="B31">
        <v>29</v>
      </c>
      <c r="C31" s="243" t="s">
        <v>63</v>
      </c>
      <c r="D31" s="243" t="s">
        <v>64</v>
      </c>
    </row>
    <row r="32" spans="2:4" ht="15.75">
      <c r="B32">
        <v>30</v>
      </c>
      <c r="C32" s="243" t="s">
        <v>65</v>
      </c>
      <c r="D32" s="243" t="s">
        <v>66</v>
      </c>
    </row>
    <row r="33" spans="2:4" ht="15.75">
      <c r="B33">
        <v>31</v>
      </c>
      <c r="C33" s="243" t="s">
        <v>67</v>
      </c>
      <c r="D33" t="s">
        <v>68</v>
      </c>
    </row>
    <row r="34" spans="2:4" ht="15.75">
      <c r="B34">
        <v>32</v>
      </c>
      <c r="C34" s="243" t="s">
        <v>69</v>
      </c>
      <c r="D34" t="s">
        <v>70</v>
      </c>
    </row>
    <row r="35" spans="2:4" ht="15.75">
      <c r="B35">
        <v>33</v>
      </c>
      <c r="C35" s="243" t="s">
        <v>71</v>
      </c>
      <c r="D35" t="s">
        <v>72</v>
      </c>
    </row>
    <row r="36" spans="2:4" ht="15.75">
      <c r="B36">
        <v>34</v>
      </c>
      <c r="C36" s="243" t="s">
        <v>73</v>
      </c>
      <c r="D36" t="s">
        <v>74</v>
      </c>
    </row>
    <row r="37" spans="2:4" ht="15.75">
      <c r="B37">
        <v>35</v>
      </c>
      <c r="C37" s="243" t="s">
        <v>75</v>
      </c>
      <c r="D37" t="s">
        <v>76</v>
      </c>
    </row>
    <row r="38" spans="2:4" ht="15.75">
      <c r="B38">
        <v>36</v>
      </c>
      <c r="C38" s="243" t="s">
        <v>77</v>
      </c>
      <c r="D38" t="s">
        <v>78</v>
      </c>
    </row>
    <row r="39" spans="2:4" ht="15.75">
      <c r="B39">
        <v>37</v>
      </c>
      <c r="C39" s="243" t="s">
        <v>79</v>
      </c>
      <c r="D39" t="s">
        <v>80</v>
      </c>
    </row>
    <row r="40" spans="2:4" ht="15.75">
      <c r="B40">
        <v>38</v>
      </c>
      <c r="C40" s="243" t="s">
        <v>81</v>
      </c>
      <c r="D40" t="s">
        <v>82</v>
      </c>
    </row>
    <row r="41" spans="2:4" ht="15.75">
      <c r="B41">
        <v>39</v>
      </c>
      <c r="C41" s="243" t="s">
        <v>83</v>
      </c>
      <c r="D41" t="s">
        <v>84</v>
      </c>
    </row>
    <row r="42" spans="2:4" ht="15.75">
      <c r="B42">
        <v>40</v>
      </c>
      <c r="C42" s="243" t="s">
        <v>85</v>
      </c>
      <c r="D42" t="s">
        <v>86</v>
      </c>
    </row>
    <row r="43" spans="2:4" ht="15.75">
      <c r="B43">
        <v>41</v>
      </c>
      <c r="C43" s="243" t="s">
        <v>87</v>
      </c>
      <c r="D43" t="s">
        <v>88</v>
      </c>
    </row>
    <row r="44" spans="2:4" ht="15.75">
      <c r="B44">
        <v>42</v>
      </c>
      <c r="C44" s="243" t="s">
        <v>89</v>
      </c>
      <c r="D44" t="s">
        <v>90</v>
      </c>
    </row>
    <row r="45" spans="2:4" ht="15.75">
      <c r="B45">
        <v>43</v>
      </c>
      <c r="C45" s="243" t="s">
        <v>91</v>
      </c>
      <c r="D45" t="s">
        <v>92</v>
      </c>
    </row>
    <row r="46" spans="2:4" ht="15.75">
      <c r="B46">
        <v>44</v>
      </c>
      <c r="C46" s="243" t="s">
        <v>93</v>
      </c>
      <c r="D46" t="s">
        <v>94</v>
      </c>
    </row>
    <row r="47" spans="2:4" ht="15.75">
      <c r="B47">
        <v>45</v>
      </c>
      <c r="C47" s="243" t="s">
        <v>95</v>
      </c>
      <c r="D47" t="s">
        <v>96</v>
      </c>
    </row>
    <row r="48" spans="2:4" ht="15.75">
      <c r="B48">
        <v>46</v>
      </c>
      <c r="C48" s="243" t="s">
        <v>97</v>
      </c>
      <c r="D48" t="s">
        <v>98</v>
      </c>
    </row>
    <row r="49" spans="2:4" ht="15.75">
      <c r="B49">
        <v>47</v>
      </c>
      <c r="C49" s="243" t="s">
        <v>99</v>
      </c>
      <c r="D49" t="s">
        <v>100</v>
      </c>
    </row>
    <row r="50" spans="2:4" ht="15.75">
      <c r="B50">
        <v>48</v>
      </c>
      <c r="C50" s="243" t="s">
        <v>101</v>
      </c>
      <c r="D50" t="s">
        <v>102</v>
      </c>
    </row>
    <row r="51" spans="2:4" ht="15.75">
      <c r="B51">
        <v>49</v>
      </c>
      <c r="C51" s="243" t="s">
        <v>103</v>
      </c>
      <c r="D51" t="s">
        <v>104</v>
      </c>
    </row>
    <row r="52" spans="2:4" ht="15.75">
      <c r="B52">
        <v>50</v>
      </c>
      <c r="C52" s="243" t="s">
        <v>105</v>
      </c>
      <c r="D52" t="s">
        <v>106</v>
      </c>
    </row>
    <row r="53" spans="2:4" ht="15.75">
      <c r="B53">
        <v>51</v>
      </c>
      <c r="C53" s="243" t="s">
        <v>107</v>
      </c>
      <c r="D53" t="s">
        <v>108</v>
      </c>
    </row>
    <row r="54" spans="2:4" ht="15.75">
      <c r="B54">
        <v>52</v>
      </c>
      <c r="C54" s="243" t="s">
        <v>109</v>
      </c>
      <c r="D54" t="s">
        <v>110</v>
      </c>
    </row>
    <row r="55" spans="2:4" ht="15.75">
      <c r="B55">
        <v>53</v>
      </c>
      <c r="C55" s="243" t="s">
        <v>111</v>
      </c>
      <c r="D55" t="s">
        <v>112</v>
      </c>
    </row>
    <row r="56" spans="2:4" ht="15.75">
      <c r="B56">
        <v>54</v>
      </c>
      <c r="C56" s="243" t="s">
        <v>113</v>
      </c>
      <c r="D56" t="s">
        <v>114</v>
      </c>
    </row>
    <row r="57" spans="2:4" ht="15.75">
      <c r="B57">
        <v>55</v>
      </c>
      <c r="C57" s="243" t="s">
        <v>115</v>
      </c>
      <c r="D57" t="s">
        <v>116</v>
      </c>
    </row>
    <row r="58" spans="2:4" ht="15.75">
      <c r="B58">
        <v>56</v>
      </c>
      <c r="C58" s="243" t="s">
        <v>117</v>
      </c>
      <c r="D58" t="s">
        <v>118</v>
      </c>
    </row>
    <row r="59" spans="2:4" ht="15.75">
      <c r="B59">
        <v>57</v>
      </c>
      <c r="C59" s="243" t="s">
        <v>119</v>
      </c>
      <c r="D59" t="s">
        <v>120</v>
      </c>
    </row>
    <row r="60" spans="2:4" ht="15.75">
      <c r="B60">
        <v>58</v>
      </c>
      <c r="C60" s="243" t="s">
        <v>121</v>
      </c>
      <c r="D60" t="s">
        <v>122</v>
      </c>
    </row>
    <row r="61" spans="2:4" ht="15.75">
      <c r="B61">
        <v>59</v>
      </c>
      <c r="C61" s="243" t="s">
        <v>123</v>
      </c>
      <c r="D61" t="s">
        <v>124</v>
      </c>
    </row>
    <row r="62" spans="2:4" ht="15.75">
      <c r="B62">
        <v>60</v>
      </c>
      <c r="C62" s="243" t="s">
        <v>125</v>
      </c>
      <c r="D62" t="s">
        <v>126</v>
      </c>
    </row>
    <row r="63" spans="2:4" ht="15.75">
      <c r="B63">
        <v>61</v>
      </c>
      <c r="C63" s="243" t="s">
        <v>127</v>
      </c>
      <c r="D63" t="s">
        <v>128</v>
      </c>
    </row>
    <row r="64" spans="2:4" ht="15.75">
      <c r="B64">
        <v>62</v>
      </c>
      <c r="C64" s="243" t="s">
        <v>129</v>
      </c>
      <c r="D64" t="s">
        <v>130</v>
      </c>
    </row>
    <row r="65" spans="2:4" ht="15.75">
      <c r="B65">
        <v>63</v>
      </c>
      <c r="C65" s="243" t="s">
        <v>131</v>
      </c>
      <c r="D65" t="s">
        <v>132</v>
      </c>
    </row>
    <row r="66" spans="2:4" ht="15.75">
      <c r="B66">
        <v>64</v>
      </c>
      <c r="C66" s="243" t="s">
        <v>133</v>
      </c>
      <c r="D66" t="s">
        <v>134</v>
      </c>
    </row>
    <row r="67" spans="2:4" ht="15.75">
      <c r="B67">
        <v>65</v>
      </c>
      <c r="C67" s="243" t="s">
        <v>135</v>
      </c>
      <c r="D67" t="s">
        <v>136</v>
      </c>
    </row>
    <row r="68" spans="2:4" ht="15.75">
      <c r="B68">
        <v>66</v>
      </c>
      <c r="C68" s="243" t="s">
        <v>137</v>
      </c>
      <c r="D68" s="61" t="s">
        <v>138</v>
      </c>
    </row>
    <row r="69" spans="2:4" ht="15.75">
      <c r="B69">
        <v>67</v>
      </c>
      <c r="C69" s="243" t="s">
        <v>139</v>
      </c>
      <c r="D69" s="61" t="s">
        <v>140</v>
      </c>
    </row>
    <row r="70" spans="2:4" ht="15.75">
      <c r="B70">
        <v>68</v>
      </c>
      <c r="C70" s="243" t="s">
        <v>141</v>
      </c>
      <c r="D70" s="61" t="s">
        <v>142</v>
      </c>
    </row>
    <row r="71" spans="2:4" ht="15.75">
      <c r="B71">
        <v>69</v>
      </c>
      <c r="C71" s="243" t="s">
        <v>143</v>
      </c>
      <c r="D71" s="61" t="s">
        <v>144</v>
      </c>
    </row>
    <row r="72" spans="2:4" ht="15.75">
      <c r="B72">
        <v>70</v>
      </c>
      <c r="C72" s="243" t="s">
        <v>145</v>
      </c>
      <c r="D72" s="61" t="s">
        <v>146</v>
      </c>
    </row>
    <row r="73" spans="2:4" ht="15.75">
      <c r="B73">
        <v>71</v>
      </c>
      <c r="C73" s="243" t="s">
        <v>147</v>
      </c>
      <c r="D73" s="244" t="s">
        <v>148</v>
      </c>
    </row>
    <row r="74" spans="2:4" ht="15.75">
      <c r="B74">
        <v>72</v>
      </c>
      <c r="C74" s="243" t="s">
        <v>149</v>
      </c>
      <c r="D74" s="244"/>
    </row>
    <row r="75" spans="2:4" ht="15.75">
      <c r="B75">
        <v>73</v>
      </c>
      <c r="C75" s="243" t="s">
        <v>150</v>
      </c>
      <c r="D75" s="169" t="s">
        <v>151</v>
      </c>
    </row>
    <row r="76" spans="2:4" ht="15.75">
      <c r="B76">
        <v>74</v>
      </c>
      <c r="C76" s="243" t="s">
        <v>152</v>
      </c>
      <c r="D76" s="169" t="s">
        <v>153</v>
      </c>
    </row>
    <row r="77" spans="2:4" ht="15.75">
      <c r="B77">
        <v>75</v>
      </c>
      <c r="C77" s="243" t="s">
        <v>154</v>
      </c>
      <c r="D77" s="169" t="s">
        <v>155</v>
      </c>
    </row>
    <row r="78" spans="2:4" ht="15.75">
      <c r="B78">
        <v>76</v>
      </c>
      <c r="C78" s="243" t="s">
        <v>156</v>
      </c>
      <c r="D78" s="169" t="s">
        <v>157</v>
      </c>
    </row>
    <row r="79" spans="2:4" ht="15.75">
      <c r="B79">
        <v>77</v>
      </c>
      <c r="C79" s="243" t="s">
        <v>158</v>
      </c>
      <c r="D79" s="169" t="s">
        <v>159</v>
      </c>
    </row>
    <row r="80" spans="2:4" ht="15.75">
      <c r="B80">
        <v>78</v>
      </c>
      <c r="C80" s="243" t="s">
        <v>160</v>
      </c>
      <c r="D80" s="169" t="s">
        <v>161</v>
      </c>
    </row>
    <row r="81" spans="2:4" ht="15.75">
      <c r="B81">
        <v>79</v>
      </c>
      <c r="C81" s="243" t="s">
        <v>162</v>
      </c>
      <c r="D81" s="169" t="s">
        <v>163</v>
      </c>
    </row>
    <row r="82" spans="2:4" ht="15.75">
      <c r="B82">
        <v>80</v>
      </c>
      <c r="C82" s="243" t="s">
        <v>164</v>
      </c>
      <c r="D82" s="169" t="s">
        <v>164</v>
      </c>
    </row>
    <row r="83" spans="2:4" ht="15.75">
      <c r="B83">
        <v>81</v>
      </c>
      <c r="C83" s="243" t="s">
        <v>165</v>
      </c>
      <c r="D83" s="169" t="s">
        <v>166</v>
      </c>
    </row>
    <row r="84" spans="2:4" ht="15">
      <c r="B84">
        <v>82</v>
      </c>
      <c r="C84" t="s">
        <v>167</v>
      </c>
      <c r="D84" t="s">
        <v>168</v>
      </c>
    </row>
    <row r="85" spans="2:4" ht="15">
      <c r="B85">
        <v>83</v>
      </c>
      <c r="C85" t="s">
        <v>169</v>
      </c>
      <c r="D85" t="s">
        <v>170</v>
      </c>
    </row>
    <row r="86" spans="2:4" ht="15.75">
      <c r="B86">
        <v>84</v>
      </c>
      <c r="C86" s="243" t="s">
        <v>171</v>
      </c>
      <c r="D86" t="s">
        <v>172</v>
      </c>
    </row>
    <row r="87" spans="2:4" ht="15">
      <c r="B87">
        <v>85</v>
      </c>
      <c r="C87" t="s">
        <v>173</v>
      </c>
      <c r="D87" t="s">
        <v>174</v>
      </c>
    </row>
    <row r="88" spans="2:4" ht="15">
      <c r="B88">
        <v>86</v>
      </c>
      <c r="C88" t="s">
        <v>175</v>
      </c>
      <c r="D88" t="s">
        <v>176</v>
      </c>
    </row>
    <row r="89" spans="2:4" ht="15">
      <c r="B89">
        <v>87</v>
      </c>
      <c r="C89" t="s">
        <v>177</v>
      </c>
      <c r="D89" t="s">
        <v>178</v>
      </c>
    </row>
    <row r="90" spans="2:4" ht="15">
      <c r="B90">
        <v>88</v>
      </c>
      <c r="C90" t="s">
        <v>61</v>
      </c>
      <c r="D90" t="s">
        <v>62</v>
      </c>
    </row>
    <row r="91" spans="2:4" ht="15">
      <c r="B91">
        <v>89</v>
      </c>
      <c r="C91" s="245" t="s">
        <v>179</v>
      </c>
      <c r="D91" t="s">
        <v>180</v>
      </c>
    </row>
    <row r="92" spans="2:4" ht="15">
      <c r="B92">
        <v>90</v>
      </c>
      <c r="C92" t="s">
        <v>181</v>
      </c>
      <c r="D92" t="s">
        <v>181</v>
      </c>
    </row>
    <row r="93" spans="2:4" ht="15">
      <c r="B93">
        <v>91</v>
      </c>
      <c r="C93" t="s">
        <v>182</v>
      </c>
      <c r="D93" t="s">
        <v>183</v>
      </c>
    </row>
    <row r="94" spans="2:4" ht="15">
      <c r="B94">
        <v>92</v>
      </c>
      <c r="C94" t="s">
        <v>1</v>
      </c>
      <c r="D94" t="s">
        <v>184</v>
      </c>
    </row>
    <row r="95" spans="2:4" ht="15">
      <c r="B95">
        <v>93</v>
      </c>
      <c r="C95" t="s">
        <v>2</v>
      </c>
      <c r="D95" t="s">
        <v>185</v>
      </c>
    </row>
    <row r="96" spans="2:4" ht="15">
      <c r="B96">
        <v>94</v>
      </c>
      <c r="C96" t="s">
        <v>3</v>
      </c>
      <c r="D96" t="s">
        <v>186</v>
      </c>
    </row>
    <row r="97" spans="2:4" ht="15">
      <c r="B97">
        <v>95</v>
      </c>
      <c r="C97" t="s">
        <v>4</v>
      </c>
      <c r="D97" t="s">
        <v>187</v>
      </c>
    </row>
    <row r="98" spans="2:4" ht="15">
      <c r="B98">
        <v>96</v>
      </c>
      <c r="C98" s="246" t="s">
        <v>188</v>
      </c>
      <c r="D98" s="246" t="s">
        <v>189</v>
      </c>
    </row>
    <row r="99" spans="2:4" ht="15">
      <c r="B99">
        <v>97</v>
      </c>
      <c r="C99" s="246" t="s">
        <v>190</v>
      </c>
      <c r="D99" s="246" t="s">
        <v>191</v>
      </c>
    </row>
    <row r="100" spans="2:4" ht="15">
      <c r="B100">
        <v>98</v>
      </c>
      <c r="C100" s="246" t="s">
        <v>192</v>
      </c>
      <c r="D100" s="246" t="s">
        <v>193</v>
      </c>
    </row>
    <row r="101" spans="2:4" ht="15">
      <c r="B101">
        <v>99</v>
      </c>
      <c r="C101" s="246" t="s">
        <v>194</v>
      </c>
      <c r="D101" t="s">
        <v>195</v>
      </c>
    </row>
    <row r="102" spans="2:4" ht="15">
      <c r="B102">
        <v>100</v>
      </c>
      <c r="C102" s="246" t="s">
        <v>196</v>
      </c>
      <c r="D102" t="s">
        <v>197</v>
      </c>
    </row>
    <row r="103" spans="2:4" ht="15">
      <c r="B103">
        <v>101</v>
      </c>
      <c r="C103" t="s">
        <v>198</v>
      </c>
      <c r="D103" t="s">
        <v>199</v>
      </c>
    </row>
    <row r="104" spans="2:4" ht="15" customHeight="1">
      <c r="B104">
        <v>102</v>
      </c>
      <c r="C104" t="s">
        <v>200</v>
      </c>
      <c r="D104" t="s">
        <v>201</v>
      </c>
    </row>
    <row r="105" spans="2:4" ht="15">
      <c r="B105">
        <v>103</v>
      </c>
      <c r="C105" t="s">
        <v>202</v>
      </c>
      <c r="D105" t="s">
        <v>203</v>
      </c>
    </row>
    <row r="106" spans="2:4" ht="15">
      <c r="B106">
        <v>104</v>
      </c>
      <c r="C106" t="s">
        <v>204</v>
      </c>
      <c r="D106" t="s">
        <v>205</v>
      </c>
    </row>
    <row r="107" spans="2:4" ht="15">
      <c r="B107">
        <v>105</v>
      </c>
      <c r="C107" s="221" t="s">
        <v>206</v>
      </c>
      <c r="D107" t="s">
        <v>207</v>
      </c>
    </row>
    <row r="108" spans="2:4" ht="15">
      <c r="B108">
        <v>106</v>
      </c>
      <c r="C108" s="221" t="s">
        <v>208</v>
      </c>
      <c r="D108" t="s">
        <v>209</v>
      </c>
    </row>
    <row r="109" spans="2:4" ht="15">
      <c r="B109">
        <v>107</v>
      </c>
      <c r="C109" t="s">
        <v>210</v>
      </c>
      <c r="D109" t="s">
        <v>211</v>
      </c>
    </row>
    <row r="110" spans="2:4" ht="15">
      <c r="B110">
        <v>108</v>
      </c>
      <c r="C110" s="221" t="s">
        <v>212</v>
      </c>
      <c r="D110" t="s">
        <v>213</v>
      </c>
    </row>
    <row r="111" spans="2:4" ht="15">
      <c r="B111">
        <v>109</v>
      </c>
      <c r="C111" s="221" t="s">
        <v>214</v>
      </c>
      <c r="D111" t="s">
        <v>215</v>
      </c>
    </row>
    <row r="112" spans="2:4" ht="15">
      <c r="B112">
        <v>110</v>
      </c>
      <c r="C112" s="221" t="s">
        <v>216</v>
      </c>
      <c r="D112" t="s">
        <v>217</v>
      </c>
    </row>
    <row r="113" spans="2:4" ht="15">
      <c r="B113">
        <v>111</v>
      </c>
      <c r="C113" s="221" t="s">
        <v>12</v>
      </c>
      <c r="D113" t="s">
        <v>218</v>
      </c>
    </row>
    <row r="114" spans="2:4" ht="15">
      <c r="B114">
        <v>112</v>
      </c>
      <c r="C114" s="223" t="s">
        <v>219</v>
      </c>
      <c r="D114" t="s">
        <v>220</v>
      </c>
    </row>
    <row r="115" spans="2:4" ht="15">
      <c r="B115">
        <v>113</v>
      </c>
      <c r="C115" s="223" t="s">
        <v>63</v>
      </c>
      <c r="D115" t="s">
        <v>64</v>
      </c>
    </row>
    <row r="116" spans="2:4" ht="15">
      <c r="B116">
        <v>114</v>
      </c>
      <c r="C116" s="221" t="s">
        <v>221</v>
      </c>
      <c r="D116" t="s">
        <v>222</v>
      </c>
    </row>
    <row r="117" spans="2:4" ht="15">
      <c r="B117">
        <v>115</v>
      </c>
      <c r="C117" s="221" t="s">
        <v>223</v>
      </c>
      <c r="D117" t="s">
        <v>224</v>
      </c>
    </row>
    <row r="118" spans="2:4" ht="15">
      <c r="B118">
        <v>116</v>
      </c>
      <c r="C118" s="221" t="s">
        <v>225</v>
      </c>
      <c r="D118" t="s">
        <v>226</v>
      </c>
    </row>
    <row r="119" spans="2:4" ht="15.75">
      <c r="B119">
        <v>117</v>
      </c>
      <c r="C119" s="243"/>
      <c r="D119" s="61"/>
    </row>
    <row r="120" spans="2:4" ht="15.75">
      <c r="B120">
        <v>118</v>
      </c>
      <c r="C120" s="216" t="s">
        <v>227</v>
      </c>
      <c r="D120" t="s">
        <v>228</v>
      </c>
    </row>
    <row r="121" spans="2:3" ht="15">
      <c r="B121">
        <v>119</v>
      </c>
      <c r="C121" s="234" t="s">
        <v>229</v>
      </c>
    </row>
    <row r="122" spans="2:4" ht="18">
      <c r="B122">
        <v>120</v>
      </c>
      <c r="C122" s="212" t="s">
        <v>65</v>
      </c>
      <c r="D122" t="s">
        <v>66</v>
      </c>
    </row>
    <row r="123" spans="2:4" ht="15">
      <c r="B123">
        <v>121</v>
      </c>
      <c r="C123" t="s">
        <v>230</v>
      </c>
      <c r="D123" t="s">
        <v>231</v>
      </c>
    </row>
    <row r="124" spans="2:4" ht="15">
      <c r="B124">
        <v>122</v>
      </c>
      <c r="C124" t="s">
        <v>232</v>
      </c>
      <c r="D124" t="s">
        <v>231</v>
      </c>
    </row>
    <row r="125" spans="2:4" ht="15">
      <c r="B125">
        <v>123</v>
      </c>
      <c r="C125" t="s">
        <v>233</v>
      </c>
      <c r="D125" t="s">
        <v>234</v>
      </c>
    </row>
    <row r="126" spans="2:4" ht="15">
      <c r="B126">
        <v>124</v>
      </c>
      <c r="C126" t="s">
        <v>235</v>
      </c>
      <c r="D126" t="s">
        <v>236</v>
      </c>
    </row>
    <row r="127" spans="2:4" ht="15">
      <c r="B127">
        <v>125</v>
      </c>
      <c r="C127" t="s">
        <v>237</v>
      </c>
      <c r="D127" t="s">
        <v>238</v>
      </c>
    </row>
    <row r="128" spans="2:4" ht="15">
      <c r="B128">
        <v>126</v>
      </c>
      <c r="C128" t="s">
        <v>239</v>
      </c>
      <c r="D128" t="s">
        <v>239</v>
      </c>
    </row>
    <row r="129" spans="2:4" ht="15">
      <c r="B129">
        <v>127</v>
      </c>
      <c r="C129" t="s">
        <v>240</v>
      </c>
      <c r="D129" t="s">
        <v>240</v>
      </c>
    </row>
    <row r="130" spans="2:4" ht="15">
      <c r="B130">
        <v>128</v>
      </c>
      <c r="C130" t="s">
        <v>241</v>
      </c>
      <c r="D130" t="s">
        <v>241</v>
      </c>
    </row>
    <row r="131" spans="2:4" ht="15">
      <c r="B131">
        <v>129</v>
      </c>
      <c r="C131" t="s">
        <v>242</v>
      </c>
      <c r="D131" t="s">
        <v>242</v>
      </c>
    </row>
    <row r="132" spans="2:4" ht="15">
      <c r="B132">
        <v>130</v>
      </c>
      <c r="C132" t="s">
        <v>243</v>
      </c>
      <c r="D132" t="s">
        <v>243</v>
      </c>
    </row>
    <row r="133" spans="2:4" ht="15">
      <c r="B133">
        <v>131</v>
      </c>
      <c r="C133" s="43" t="s">
        <v>244</v>
      </c>
      <c r="D133" t="s">
        <v>245</v>
      </c>
    </row>
    <row r="134" spans="2:4" ht="15">
      <c r="B134">
        <v>132</v>
      </c>
      <c r="C134" s="43" t="s">
        <v>246</v>
      </c>
      <c r="D134" t="s">
        <v>247</v>
      </c>
    </row>
    <row r="135" spans="2:4" ht="15">
      <c r="B135">
        <v>133</v>
      </c>
      <c r="C135" s="43" t="s">
        <v>248</v>
      </c>
      <c r="D135" t="s">
        <v>249</v>
      </c>
    </row>
    <row r="136" spans="2:4" ht="15">
      <c r="B136">
        <v>134</v>
      </c>
      <c r="C136" s="43" t="s">
        <v>250</v>
      </c>
      <c r="D136" t="s">
        <v>251</v>
      </c>
    </row>
    <row r="137" spans="2:4" ht="15">
      <c r="B137">
        <v>135</v>
      </c>
      <c r="C137" s="43" t="s">
        <v>113</v>
      </c>
      <c r="D137" t="s">
        <v>114</v>
      </c>
    </row>
    <row r="138" spans="2:4" ht="15">
      <c r="B138">
        <v>136</v>
      </c>
      <c r="C138" s="43" t="s">
        <v>252</v>
      </c>
      <c r="D138" t="s">
        <v>253</v>
      </c>
    </row>
    <row r="139" spans="2:4" ht="15">
      <c r="B139">
        <v>137</v>
      </c>
      <c r="C139" s="43" t="s">
        <v>254</v>
      </c>
      <c r="D139" t="s">
        <v>255</v>
      </c>
    </row>
    <row r="140" spans="2:4" ht="15">
      <c r="B140">
        <v>138</v>
      </c>
      <c r="C140" s="43" t="s">
        <v>256</v>
      </c>
      <c r="D140" t="s">
        <v>257</v>
      </c>
    </row>
    <row r="141" spans="2:4" ht="15">
      <c r="B141">
        <v>139</v>
      </c>
      <c r="C141" s="43" t="s">
        <v>258</v>
      </c>
      <c r="D141" t="s">
        <v>259</v>
      </c>
    </row>
    <row r="142" spans="2:4" ht="15">
      <c r="B142">
        <v>140</v>
      </c>
      <c r="C142" s="43" t="s">
        <v>260</v>
      </c>
      <c r="D142" t="s">
        <v>261</v>
      </c>
    </row>
    <row r="143" spans="2:4" ht="15">
      <c r="B143">
        <v>141</v>
      </c>
      <c r="C143" s="43" t="s">
        <v>262</v>
      </c>
      <c r="D143" s="61" t="s">
        <v>263</v>
      </c>
    </row>
    <row r="144" spans="2:4" ht="15">
      <c r="B144">
        <v>142</v>
      </c>
      <c r="C144" s="61" t="s">
        <v>264</v>
      </c>
      <c r="D144" s="61" t="s">
        <v>265</v>
      </c>
    </row>
    <row r="145" spans="2:4" ht="15">
      <c r="B145">
        <v>143</v>
      </c>
      <c r="C145" s="61" t="s">
        <v>266</v>
      </c>
      <c r="D145" t="s">
        <v>267</v>
      </c>
    </row>
    <row r="146" spans="2:4" ht="15">
      <c r="B146">
        <v>144</v>
      </c>
      <c r="C146" s="43" t="s">
        <v>268</v>
      </c>
      <c r="D146" t="s">
        <v>269</v>
      </c>
    </row>
    <row r="147" spans="2:4" ht="15">
      <c r="B147">
        <v>145</v>
      </c>
      <c r="C147" s="43" t="s">
        <v>270</v>
      </c>
      <c r="D147" t="s">
        <v>271</v>
      </c>
    </row>
    <row r="148" spans="2:4" ht="15">
      <c r="B148">
        <v>146</v>
      </c>
      <c r="C148" s="109" t="s">
        <v>272</v>
      </c>
      <c r="D148" t="s">
        <v>273</v>
      </c>
    </row>
    <row r="149" spans="2:4" ht="15">
      <c r="B149">
        <v>147</v>
      </c>
      <c r="C149" s="61" t="s">
        <v>274</v>
      </c>
      <c r="D149" t="s">
        <v>104</v>
      </c>
    </row>
    <row r="150" spans="2:4" ht="15">
      <c r="B150">
        <v>148</v>
      </c>
      <c r="C150" s="61" t="s">
        <v>275</v>
      </c>
      <c r="D150" t="s">
        <v>276</v>
      </c>
    </row>
    <row r="151" spans="2:4" ht="15">
      <c r="B151">
        <v>149</v>
      </c>
      <c r="C151" s="61" t="s">
        <v>277</v>
      </c>
      <c r="D151" t="s">
        <v>278</v>
      </c>
    </row>
    <row r="152" spans="2:4" ht="15">
      <c r="B152">
        <v>150</v>
      </c>
      <c r="C152" s="109" t="s">
        <v>279</v>
      </c>
      <c r="D152" t="s">
        <v>280</v>
      </c>
    </row>
    <row r="153" spans="2:4" ht="15">
      <c r="B153">
        <v>151</v>
      </c>
      <c r="C153" s="47" t="s">
        <v>281</v>
      </c>
      <c r="D153" t="s">
        <v>282</v>
      </c>
    </row>
    <row r="154" spans="2:4" ht="15">
      <c r="B154">
        <v>152</v>
      </c>
      <c r="C154" s="61" t="s">
        <v>283</v>
      </c>
      <c r="D154" t="s">
        <v>284</v>
      </c>
    </row>
    <row r="155" spans="2:4" ht="15">
      <c r="B155">
        <v>153</v>
      </c>
      <c r="C155" s="61" t="s">
        <v>285</v>
      </c>
      <c r="D155" t="s">
        <v>286</v>
      </c>
    </row>
    <row r="156" spans="2:4" ht="15">
      <c r="B156">
        <v>154</v>
      </c>
      <c r="C156" s="61" t="s">
        <v>287</v>
      </c>
      <c r="D156" t="s">
        <v>288</v>
      </c>
    </row>
    <row r="157" spans="2:4" ht="15">
      <c r="B157">
        <v>155</v>
      </c>
      <c r="C157" s="61" t="s">
        <v>289</v>
      </c>
      <c r="D157" t="s">
        <v>290</v>
      </c>
    </row>
    <row r="158" spans="2:4" ht="15">
      <c r="B158">
        <v>156</v>
      </c>
      <c r="C158" s="61" t="s">
        <v>291</v>
      </c>
      <c r="D158" t="s">
        <v>292</v>
      </c>
    </row>
    <row r="159" spans="2:4" ht="15">
      <c r="B159">
        <v>157</v>
      </c>
      <c r="C159" s="61" t="s">
        <v>293</v>
      </c>
      <c r="D159" t="s">
        <v>294</v>
      </c>
    </row>
    <row r="160" spans="2:4" ht="15">
      <c r="B160">
        <v>158</v>
      </c>
      <c r="C160" s="61" t="s">
        <v>295</v>
      </c>
      <c r="D160" t="s">
        <v>296</v>
      </c>
    </row>
    <row r="161" spans="2:4" ht="15">
      <c r="B161">
        <v>159</v>
      </c>
      <c r="C161" s="122" t="s">
        <v>297</v>
      </c>
      <c r="D161" t="s">
        <v>298</v>
      </c>
    </row>
    <row r="162" spans="2:4" ht="15">
      <c r="B162">
        <v>160</v>
      </c>
      <c r="C162" s="122" t="s">
        <v>299</v>
      </c>
      <c r="D162" t="s">
        <v>300</v>
      </c>
    </row>
    <row r="163" spans="2:4" ht="15">
      <c r="B163">
        <v>161</v>
      </c>
      <c r="C163" s="61" t="s">
        <v>57</v>
      </c>
      <c r="D163" t="s">
        <v>58</v>
      </c>
    </row>
    <row r="164" spans="2:4" ht="15">
      <c r="B164">
        <v>162</v>
      </c>
      <c r="C164" s="61" t="s">
        <v>301</v>
      </c>
      <c r="D164" t="s">
        <v>302</v>
      </c>
    </row>
    <row r="165" spans="2:5" ht="15">
      <c r="B165">
        <v>163</v>
      </c>
      <c r="C165" s="61" t="s">
        <v>303</v>
      </c>
      <c r="D165" t="s">
        <v>304</v>
      </c>
      <c r="E165" s="247"/>
    </row>
    <row r="166" spans="2:4" ht="15">
      <c r="B166">
        <v>164</v>
      </c>
      <c r="C166" t="s">
        <v>305</v>
      </c>
      <c r="D166" t="s">
        <v>306</v>
      </c>
    </row>
    <row r="167" spans="2:4" ht="15.75">
      <c r="B167">
        <v>165</v>
      </c>
      <c r="C167" s="248" t="s">
        <v>307</v>
      </c>
      <c r="D167" t="s">
        <v>308</v>
      </c>
    </row>
    <row r="168" spans="2:4" ht="15">
      <c r="B168">
        <v>166</v>
      </c>
      <c r="C168" s="169" t="s">
        <v>301</v>
      </c>
      <c r="D168" t="s">
        <v>302</v>
      </c>
    </row>
    <row r="169" spans="2:4" ht="15">
      <c r="B169">
        <v>167</v>
      </c>
      <c r="C169" t="s">
        <v>1</v>
      </c>
      <c r="D169" t="s">
        <v>184</v>
      </c>
    </row>
    <row r="170" spans="2:4" ht="15">
      <c r="B170">
        <v>168</v>
      </c>
      <c r="C170" t="s">
        <v>2</v>
      </c>
      <c r="D170" t="s">
        <v>185</v>
      </c>
    </row>
    <row r="171" spans="2:4" ht="15">
      <c r="B171">
        <v>169</v>
      </c>
      <c r="C171" t="s">
        <v>3</v>
      </c>
      <c r="D171" t="s">
        <v>186</v>
      </c>
    </row>
    <row r="172" spans="2:4" ht="15">
      <c r="B172">
        <v>170</v>
      </c>
      <c r="C172" t="s">
        <v>4</v>
      </c>
      <c r="D172" t="s">
        <v>187</v>
      </c>
    </row>
    <row r="173" spans="2:4" ht="15">
      <c r="B173">
        <v>171</v>
      </c>
      <c r="C173" t="s">
        <v>309</v>
      </c>
      <c r="D173" t="s">
        <v>310</v>
      </c>
    </row>
    <row r="174" spans="2:4" ht="15">
      <c r="B174">
        <v>172</v>
      </c>
      <c r="C174" t="s">
        <v>171</v>
      </c>
      <c r="D174" t="s">
        <v>172</v>
      </c>
    </row>
    <row r="175" spans="2:4" ht="15">
      <c r="B175">
        <v>173</v>
      </c>
      <c r="C175" t="s">
        <v>311</v>
      </c>
      <c r="D175" s="191" t="s">
        <v>409</v>
      </c>
    </row>
    <row r="176" spans="2:4" ht="15">
      <c r="B176">
        <v>174</v>
      </c>
      <c r="C176" t="s">
        <v>312</v>
      </c>
      <c r="D176" s="191" t="s">
        <v>410</v>
      </c>
    </row>
    <row r="177" spans="2:4" ht="15">
      <c r="B177">
        <v>175</v>
      </c>
      <c r="C177" s="194" t="s">
        <v>30</v>
      </c>
      <c r="D177" t="s">
        <v>31</v>
      </c>
    </row>
    <row r="178" spans="2:4" ht="15">
      <c r="B178">
        <v>176</v>
      </c>
      <c r="C178" s="194" t="s">
        <v>313</v>
      </c>
      <c r="D178" s="41" t="s">
        <v>314</v>
      </c>
    </row>
    <row r="179" spans="2:4" ht="15">
      <c r="B179">
        <v>177</v>
      </c>
      <c r="C179" s="194" t="s">
        <v>315</v>
      </c>
      <c r="D179" t="s">
        <v>316</v>
      </c>
    </row>
    <row r="180" spans="2:4" ht="15">
      <c r="B180">
        <v>178</v>
      </c>
      <c r="C180" s="194" t="s">
        <v>317</v>
      </c>
      <c r="D180" t="s">
        <v>318</v>
      </c>
    </row>
    <row r="181" spans="2:4" ht="15">
      <c r="B181">
        <v>179</v>
      </c>
      <c r="C181" s="194" t="s">
        <v>319</v>
      </c>
      <c r="D181" t="s">
        <v>320</v>
      </c>
    </row>
    <row r="182" spans="2:4" ht="15">
      <c r="B182">
        <v>180</v>
      </c>
      <c r="C182" s="194" t="s">
        <v>321</v>
      </c>
      <c r="D182" t="s">
        <v>322</v>
      </c>
    </row>
    <row r="183" spans="2:4" ht="15">
      <c r="B183">
        <v>181</v>
      </c>
      <c r="C183" s="194" t="s">
        <v>8</v>
      </c>
      <c r="D183" t="s">
        <v>8</v>
      </c>
    </row>
    <row r="184" spans="2:4" ht="15">
      <c r="B184">
        <v>182</v>
      </c>
      <c r="C184" s="194" t="s">
        <v>10</v>
      </c>
      <c r="D184" t="s">
        <v>10</v>
      </c>
    </row>
    <row r="185" spans="2:4" ht="15">
      <c r="B185">
        <v>183</v>
      </c>
      <c r="C185" s="194" t="s">
        <v>11</v>
      </c>
      <c r="D185" t="s">
        <v>41</v>
      </c>
    </row>
    <row r="186" spans="2:4" ht="15">
      <c r="B186">
        <v>184</v>
      </c>
      <c r="C186" t="s">
        <v>323</v>
      </c>
      <c r="D186" t="s">
        <v>324</v>
      </c>
    </row>
    <row r="187" spans="2:4" ht="15">
      <c r="B187">
        <v>185</v>
      </c>
      <c r="C187" t="s">
        <v>325</v>
      </c>
      <c r="D187" t="s">
        <v>326</v>
      </c>
    </row>
    <row r="188" spans="2:4" ht="15">
      <c r="B188">
        <v>186</v>
      </c>
      <c r="C188" t="s">
        <v>327</v>
      </c>
      <c r="D188" t="s">
        <v>328</v>
      </c>
    </row>
    <row r="189" spans="2:4" ht="15">
      <c r="B189">
        <v>187</v>
      </c>
      <c r="C189" t="s">
        <v>329</v>
      </c>
      <c r="D189" t="s">
        <v>278</v>
      </c>
    </row>
    <row r="190" spans="2:3" ht="15">
      <c r="B190">
        <v>188</v>
      </c>
      <c r="C190" s="221" t="s">
        <v>330</v>
      </c>
    </row>
    <row r="191" spans="2:3" ht="15">
      <c r="B191">
        <v>189</v>
      </c>
      <c r="C191" s="221" t="s">
        <v>331</v>
      </c>
    </row>
    <row r="192" spans="2:3" ht="15">
      <c r="B192">
        <v>190</v>
      </c>
      <c r="C192" s="221" t="s">
        <v>332</v>
      </c>
    </row>
    <row r="193" spans="2:4" ht="15">
      <c r="B193">
        <v>191</v>
      </c>
      <c r="C193" s="221" t="s">
        <v>212</v>
      </c>
      <c r="D193" t="s">
        <v>213</v>
      </c>
    </row>
    <row r="194" spans="2:3" ht="15">
      <c r="B194">
        <v>192</v>
      </c>
      <c r="C194" s="221" t="s">
        <v>214</v>
      </c>
    </row>
    <row r="195" spans="2:3" ht="15">
      <c r="B195">
        <v>193</v>
      </c>
      <c r="C195" s="221" t="s">
        <v>12</v>
      </c>
    </row>
    <row r="196" spans="2:3" ht="15">
      <c r="B196">
        <v>194</v>
      </c>
      <c r="C196" s="223" t="s">
        <v>219</v>
      </c>
    </row>
    <row r="197" spans="2:3" ht="15">
      <c r="B197">
        <v>195</v>
      </c>
      <c r="C197" s="221" t="s">
        <v>333</v>
      </c>
    </row>
    <row r="198" spans="2:3" ht="15">
      <c r="B198">
        <v>196</v>
      </c>
      <c r="C198" s="221" t="s">
        <v>334</v>
      </c>
    </row>
    <row r="199" spans="2:3" ht="15">
      <c r="B199">
        <v>197</v>
      </c>
      <c r="C199" s="221" t="s">
        <v>216</v>
      </c>
    </row>
    <row r="200" spans="2:3" ht="15">
      <c r="B200">
        <v>198</v>
      </c>
      <c r="C200" s="221" t="s">
        <v>208</v>
      </c>
    </row>
    <row r="201" spans="2:3" ht="15">
      <c r="B201">
        <v>199</v>
      </c>
      <c r="C201" s="221" t="s">
        <v>335</v>
      </c>
    </row>
    <row r="202" spans="2:3" ht="15">
      <c r="B202">
        <v>200</v>
      </c>
      <c r="C202" s="221" t="s">
        <v>206</v>
      </c>
    </row>
    <row r="203" spans="2:3" ht="15">
      <c r="B203">
        <v>201</v>
      </c>
      <c r="C203" s="221" t="s">
        <v>336</v>
      </c>
    </row>
    <row r="204" spans="2:3" ht="15">
      <c r="B204">
        <v>202</v>
      </c>
      <c r="C204" s="223" t="s">
        <v>337</v>
      </c>
    </row>
    <row r="205" spans="2:4" ht="15">
      <c r="B205">
        <v>203</v>
      </c>
      <c r="C205" s="221" t="s">
        <v>338</v>
      </c>
      <c r="D205" t="s">
        <v>339</v>
      </c>
    </row>
    <row r="206" spans="2:4" ht="15">
      <c r="B206">
        <v>204</v>
      </c>
      <c r="C206" s="221" t="s">
        <v>340</v>
      </c>
      <c r="D206" t="s">
        <v>340</v>
      </c>
    </row>
    <row r="207" spans="2:4" ht="15">
      <c r="B207">
        <v>205</v>
      </c>
      <c r="C207" s="221" t="s">
        <v>341</v>
      </c>
      <c r="D207" s="221" t="s">
        <v>342</v>
      </c>
    </row>
    <row r="208" spans="2:4" ht="15">
      <c r="B208">
        <v>206</v>
      </c>
      <c r="C208" t="s">
        <v>343</v>
      </c>
      <c r="D208" t="s">
        <v>344</v>
      </c>
    </row>
    <row r="209" spans="2:4" ht="15">
      <c r="B209">
        <v>207</v>
      </c>
      <c r="C209" t="s">
        <v>345</v>
      </c>
      <c r="D209" t="s">
        <v>346</v>
      </c>
    </row>
    <row r="210" spans="2:4" ht="15">
      <c r="B210">
        <v>208</v>
      </c>
      <c r="C210" s="221" t="s">
        <v>347</v>
      </c>
      <c r="D210" t="s">
        <v>348</v>
      </c>
    </row>
    <row r="211" spans="2:4" ht="15">
      <c r="B211">
        <v>209</v>
      </c>
      <c r="C211" s="221" t="s">
        <v>206</v>
      </c>
      <c r="D211" t="s">
        <v>207</v>
      </c>
    </row>
    <row r="212" spans="2:4" ht="15">
      <c r="B212">
        <v>210</v>
      </c>
      <c r="C212" s="221" t="s">
        <v>349</v>
      </c>
      <c r="D212" t="s">
        <v>350</v>
      </c>
    </row>
    <row r="213" spans="2:4" ht="15">
      <c r="B213">
        <v>211</v>
      </c>
      <c r="C213" s="221" t="s">
        <v>351</v>
      </c>
      <c r="D213" t="s">
        <v>376</v>
      </c>
    </row>
    <row r="214" spans="2:4" ht="15">
      <c r="B214">
        <v>212</v>
      </c>
      <c r="C214" s="221" t="s">
        <v>352</v>
      </c>
      <c r="D214" t="s">
        <v>353</v>
      </c>
    </row>
    <row r="215" spans="2:4" ht="15">
      <c r="B215">
        <v>213</v>
      </c>
      <c r="C215" s="221" t="s">
        <v>354</v>
      </c>
      <c r="D215" t="s">
        <v>355</v>
      </c>
    </row>
    <row r="216" spans="2:4" ht="15">
      <c r="B216">
        <v>214</v>
      </c>
      <c r="C216" s="221" t="s">
        <v>212</v>
      </c>
      <c r="D216" t="s">
        <v>213</v>
      </c>
    </row>
    <row r="217" spans="2:4" ht="15">
      <c r="B217">
        <v>215</v>
      </c>
      <c r="C217" s="221" t="s">
        <v>12</v>
      </c>
      <c r="D217" t="s">
        <v>356</v>
      </c>
    </row>
    <row r="218" spans="2:4" ht="15">
      <c r="B218">
        <v>216</v>
      </c>
      <c r="C218" s="221" t="s">
        <v>336</v>
      </c>
      <c r="D218" t="s">
        <v>357</v>
      </c>
    </row>
    <row r="219" spans="2:4" ht="15">
      <c r="B219">
        <v>217</v>
      </c>
      <c r="C219" s="221" t="s">
        <v>358</v>
      </c>
      <c r="D219" t="s">
        <v>339</v>
      </c>
    </row>
    <row r="220" spans="2:8" ht="15" customHeight="1">
      <c r="B220">
        <v>218</v>
      </c>
      <c r="C220" s="221" t="s">
        <v>359</v>
      </c>
      <c r="D220" s="221" t="s">
        <v>360</v>
      </c>
      <c r="E220" s="221"/>
      <c r="F220" s="221"/>
      <c r="G220" s="221"/>
      <c r="H220" s="221"/>
    </row>
    <row r="221" spans="2:4" ht="15" customHeight="1">
      <c r="B221">
        <v>219</v>
      </c>
      <c r="C221" t="s">
        <v>361</v>
      </c>
      <c r="D221" t="s">
        <v>362</v>
      </c>
    </row>
    <row r="222" spans="2:4" ht="15">
      <c r="B222">
        <v>220</v>
      </c>
      <c r="C222" t="s">
        <v>363</v>
      </c>
      <c r="D222" t="s">
        <v>364</v>
      </c>
    </row>
    <row r="223" spans="2:4" ht="15">
      <c r="B223">
        <v>221</v>
      </c>
      <c r="C223" t="s">
        <v>365</v>
      </c>
      <c r="D223" t="s">
        <v>366</v>
      </c>
    </row>
    <row r="224" spans="2:4" ht="15">
      <c r="B224">
        <v>222</v>
      </c>
      <c r="C224" t="s">
        <v>373</v>
      </c>
      <c r="D224" t="s">
        <v>373</v>
      </c>
    </row>
    <row r="225" spans="2:4" ht="15">
      <c r="B225">
        <v>223</v>
      </c>
      <c r="C225" t="s">
        <v>371</v>
      </c>
      <c r="D225" t="s">
        <v>372</v>
      </c>
    </row>
    <row r="226" spans="2:4" ht="15">
      <c r="B226">
        <v>224</v>
      </c>
      <c r="C226" t="s">
        <v>374</v>
      </c>
      <c r="D226" t="s">
        <v>375</v>
      </c>
    </row>
    <row r="227" spans="2:4" ht="15">
      <c r="B227">
        <v>225</v>
      </c>
      <c r="C227" t="s">
        <v>367</v>
      </c>
      <c r="D227" t="s">
        <v>368</v>
      </c>
    </row>
    <row r="228" spans="2:4" ht="15">
      <c r="B228">
        <v>226</v>
      </c>
      <c r="C228" t="s">
        <v>377</v>
      </c>
      <c r="D228" t="s">
        <v>378</v>
      </c>
    </row>
    <row r="229" spans="2:4" ht="15">
      <c r="B229">
        <v>227</v>
      </c>
      <c r="C229" s="246" t="s">
        <v>369</v>
      </c>
      <c r="D229" t="s">
        <v>370</v>
      </c>
    </row>
    <row r="230" spans="2:4" ht="15">
      <c r="B230">
        <v>228</v>
      </c>
      <c r="C230" t="s">
        <v>408</v>
      </c>
      <c r="D230" t="s">
        <v>379</v>
      </c>
    </row>
    <row r="231" spans="2:4" ht="15">
      <c r="B231">
        <v>229</v>
      </c>
      <c r="C231" t="s">
        <v>380</v>
      </c>
      <c r="D231" t="s">
        <v>381</v>
      </c>
    </row>
    <row r="232" spans="2:4" ht="15">
      <c r="B232">
        <v>230</v>
      </c>
      <c r="C232" s="223" t="s">
        <v>19</v>
      </c>
      <c r="D232" t="s">
        <v>20</v>
      </c>
    </row>
    <row r="233" spans="2:4" ht="15">
      <c r="B233">
        <v>231</v>
      </c>
      <c r="C233" s="221" t="s">
        <v>382</v>
      </c>
      <c r="D233" t="s">
        <v>383</v>
      </c>
    </row>
    <row r="234" spans="2:4" ht="15">
      <c r="B234">
        <v>232</v>
      </c>
      <c r="C234" s="221" t="s">
        <v>28</v>
      </c>
      <c r="D234" t="s">
        <v>29</v>
      </c>
    </row>
    <row r="235" spans="2:4" ht="15">
      <c r="B235">
        <v>233</v>
      </c>
      <c r="C235" s="221" t="s">
        <v>384</v>
      </c>
      <c r="D235" t="s">
        <v>385</v>
      </c>
    </row>
    <row r="236" spans="2:4" ht="15">
      <c r="B236">
        <v>234</v>
      </c>
      <c r="C236" s="221" t="s">
        <v>386</v>
      </c>
      <c r="D236" t="s">
        <v>387</v>
      </c>
    </row>
    <row r="237" spans="2:4" ht="15">
      <c r="B237">
        <v>235</v>
      </c>
      <c r="C237" s="221" t="s">
        <v>34</v>
      </c>
      <c r="D237" t="s">
        <v>34</v>
      </c>
    </row>
    <row r="238" spans="2:4" ht="15">
      <c r="B238">
        <v>236</v>
      </c>
      <c r="C238" s="221" t="s">
        <v>388</v>
      </c>
      <c r="D238" t="s">
        <v>389</v>
      </c>
    </row>
    <row r="239" spans="2:4" ht="15">
      <c r="B239">
        <v>237</v>
      </c>
      <c r="C239" s="221" t="s">
        <v>36</v>
      </c>
      <c r="D239" t="s">
        <v>36</v>
      </c>
    </row>
    <row r="240" spans="2:4" ht="15">
      <c r="B240">
        <v>238</v>
      </c>
      <c r="C240" s="221" t="s">
        <v>390</v>
      </c>
      <c r="D240" t="s">
        <v>40</v>
      </c>
    </row>
    <row r="241" spans="2:4" ht="15">
      <c r="B241">
        <v>239</v>
      </c>
      <c r="C241" s="221" t="s">
        <v>391</v>
      </c>
      <c r="D241" t="s">
        <v>392</v>
      </c>
    </row>
    <row r="242" spans="2:4" ht="15">
      <c r="B242">
        <v>240</v>
      </c>
      <c r="C242" s="221" t="s">
        <v>393</v>
      </c>
      <c r="D242" t="s">
        <v>394</v>
      </c>
    </row>
    <row r="243" spans="2:4" ht="15">
      <c r="B243">
        <v>241</v>
      </c>
      <c r="C243" s="221" t="s">
        <v>395</v>
      </c>
      <c r="D243" t="s">
        <v>396</v>
      </c>
    </row>
    <row r="244" spans="2:4" ht="15">
      <c r="B244">
        <v>242</v>
      </c>
      <c r="C244" s="221" t="s">
        <v>397</v>
      </c>
      <c r="D244" t="s">
        <v>398</v>
      </c>
    </row>
    <row r="245" spans="2:4" ht="15">
      <c r="B245">
        <v>243</v>
      </c>
      <c r="C245" t="s">
        <v>399</v>
      </c>
      <c r="D245" t="s">
        <v>400</v>
      </c>
    </row>
    <row r="246" spans="2:4" ht="15">
      <c r="B246">
        <v>244</v>
      </c>
      <c r="C246" t="s">
        <v>401</v>
      </c>
      <c r="D246" t="s">
        <v>402</v>
      </c>
    </row>
    <row r="247" spans="2:4" ht="15.75">
      <c r="B247">
        <v>245</v>
      </c>
      <c r="C247" s="243" t="s">
        <v>403</v>
      </c>
      <c r="D247" s="243" t="s">
        <v>404</v>
      </c>
    </row>
    <row r="248" spans="2:4" ht="15">
      <c r="B248">
        <v>246</v>
      </c>
      <c r="C248" s="221" t="s">
        <v>405</v>
      </c>
      <c r="D248" t="s">
        <v>405</v>
      </c>
    </row>
    <row r="1000" ht="15">
      <c r="A1000" t="s">
        <v>406</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2" sqref="A2"/>
    </sheetView>
  </sheetViews>
  <sheetFormatPr defaultColWidth="11.421875" defaultRowHeight="15"/>
  <cols>
    <col min="1" max="1" width="33.7109375" style="0" customWidth="1"/>
  </cols>
  <sheetData>
    <row r="1" spans="1:8" ht="18">
      <c r="A1" s="270" t="str">
        <f>HLOOKUP(INDICE!$F$2,Nombres!$C$3:$D$636,242,FALSE)</f>
        <v>ALCO Portfolio</v>
      </c>
      <c r="B1" s="213"/>
      <c r="C1" s="213"/>
      <c r="D1" s="213"/>
      <c r="E1" s="213"/>
      <c r="F1" s="213"/>
      <c r="G1" s="213"/>
      <c r="H1" s="213"/>
    </row>
    <row r="2" spans="1:8" ht="15.75">
      <c r="A2" s="89" t="str">
        <f>HLOOKUP(INDICE!$F$2,Nombres!$C$3:$D$636,32,FALSE)</f>
        <v>(Million euros)</v>
      </c>
      <c r="B2" s="216"/>
      <c r="C2" s="216"/>
      <c r="D2" s="216"/>
      <c r="E2" s="216"/>
      <c r="F2" s="216"/>
      <c r="G2" s="215"/>
      <c r="H2" s="215"/>
    </row>
    <row r="3" spans="1:8" ht="15.75">
      <c r="A3" s="218"/>
      <c r="B3" s="216"/>
      <c r="C3" s="216"/>
      <c r="D3" s="216"/>
      <c r="E3" s="216"/>
      <c r="F3" s="216"/>
      <c r="G3" s="215"/>
      <c r="H3" s="215"/>
    </row>
    <row r="4" spans="1:8" ht="15.75" customHeight="1">
      <c r="A4" s="219"/>
      <c r="B4" s="298" t="s">
        <v>391</v>
      </c>
      <c r="C4" s="298"/>
      <c r="D4" s="298"/>
      <c r="E4" s="298"/>
      <c r="F4" s="298"/>
      <c r="G4" s="298"/>
      <c r="H4" s="298"/>
    </row>
    <row r="5" spans="1:8" ht="15.75">
      <c r="A5" s="220"/>
      <c r="B5" s="126">
        <f>+España!B30</f>
        <v>43190</v>
      </c>
      <c r="C5" s="126">
        <f>+España!C30</f>
        <v>43281</v>
      </c>
      <c r="D5" s="126">
        <f>+España!D30</f>
        <v>43373</v>
      </c>
      <c r="E5" s="126">
        <f>+España!E30</f>
        <v>43465</v>
      </c>
      <c r="F5" s="126">
        <f>+España!F30</f>
        <v>43555</v>
      </c>
      <c r="G5" s="126">
        <f>+España!G30</f>
        <v>43646</v>
      </c>
      <c r="H5" s="126">
        <f>+España!H30</f>
        <v>43738</v>
      </c>
    </row>
    <row r="6" spans="1:8" ht="15">
      <c r="A6" s="271" t="str">
        <f>HLOOKUP(INDICE!$F$2,Nombres!$C$3:$D$636,230,FALSE)</f>
        <v>BBVA Group</v>
      </c>
      <c r="B6" s="224">
        <v>53886</v>
      </c>
      <c r="C6" s="224">
        <v>56924</v>
      </c>
      <c r="D6" s="224">
        <v>55412</v>
      </c>
      <c r="E6" s="224">
        <v>49688</v>
      </c>
      <c r="F6" s="224">
        <v>52421</v>
      </c>
      <c r="G6" s="224">
        <v>50894</v>
      </c>
      <c r="H6" s="224">
        <v>51598</v>
      </c>
    </row>
    <row r="7" spans="1:8" ht="15">
      <c r="A7" s="272" t="str">
        <f>HLOOKUP(INDICE!$F$2,Nombres!$C$3:$D$636,231,FALSE)</f>
        <v>Euro Balance</v>
      </c>
      <c r="B7" s="222">
        <v>25890</v>
      </c>
      <c r="C7" s="222">
        <v>28399</v>
      </c>
      <c r="D7" s="222">
        <v>28481</v>
      </c>
      <c r="E7" s="222">
        <v>22569</v>
      </c>
      <c r="F7" s="222">
        <v>22992</v>
      </c>
      <c r="G7" s="222">
        <v>23044</v>
      </c>
      <c r="H7" s="222">
        <v>22637</v>
      </c>
    </row>
    <row r="8" spans="1:8" ht="15">
      <c r="A8" s="273" t="str">
        <f>HLOOKUP(INDICE!$F$2,Nombres!$C$3:$D$636,232,FALSE)</f>
        <v>Spain</v>
      </c>
      <c r="B8" s="222">
        <v>16995</v>
      </c>
      <c r="C8" s="222">
        <v>17340</v>
      </c>
      <c r="D8" s="222">
        <v>17154</v>
      </c>
      <c r="E8" s="222">
        <v>13756</v>
      </c>
      <c r="F8" s="222">
        <v>15201</v>
      </c>
      <c r="G8" s="222">
        <v>15416</v>
      </c>
      <c r="H8" s="222">
        <v>14920</v>
      </c>
    </row>
    <row r="9" spans="1:8" ht="15">
      <c r="A9" s="273" t="str">
        <f>HLOOKUP(INDICE!$F$2,Nombres!$C$3:$D$636,233,FALSE)</f>
        <v>Italy</v>
      </c>
      <c r="B9" s="222">
        <v>7144</v>
      </c>
      <c r="C9" s="222">
        <v>7620</v>
      </c>
      <c r="D9" s="222">
        <v>7579</v>
      </c>
      <c r="E9" s="222">
        <v>4587</v>
      </c>
      <c r="F9" s="222">
        <v>4581</v>
      </c>
      <c r="G9" s="222">
        <v>4577</v>
      </c>
      <c r="H9" s="222">
        <v>4572</v>
      </c>
    </row>
    <row r="10" spans="1:8" ht="15">
      <c r="A10" s="274" t="str">
        <f>HLOOKUP(INDICE!$F$2,Nombres!$C$3:$D$636,234,FALSE)</f>
        <v>Rest</v>
      </c>
      <c r="B10" s="275">
        <v>1751</v>
      </c>
      <c r="C10" s="275">
        <v>3439</v>
      </c>
      <c r="D10" s="275">
        <v>3748</v>
      </c>
      <c r="E10" s="275">
        <v>4226</v>
      </c>
      <c r="F10" s="275">
        <v>3210</v>
      </c>
      <c r="G10" s="275">
        <v>3051</v>
      </c>
      <c r="H10" s="275">
        <v>3145</v>
      </c>
    </row>
    <row r="11" spans="1:8" ht="15">
      <c r="A11" s="272" t="str">
        <f>HLOOKUP(INDICE!$F$2,Nombres!$C$3:$D$636,235,FALSE)</f>
        <v>USA</v>
      </c>
      <c r="B11" s="222">
        <v>10572</v>
      </c>
      <c r="C11" s="222">
        <v>11210</v>
      </c>
      <c r="D11" s="222">
        <v>11399</v>
      </c>
      <c r="E11" s="222">
        <v>11681</v>
      </c>
      <c r="F11" s="222">
        <v>11894</v>
      </c>
      <c r="G11" s="222">
        <v>11697</v>
      </c>
      <c r="H11" s="222">
        <v>12227</v>
      </c>
    </row>
    <row r="12" spans="1:8" ht="15">
      <c r="A12" s="272" t="str">
        <f>HLOOKUP(INDICE!$F$2,Nombres!$C$3:$D$636,236,FALSE)</f>
        <v>Turkey</v>
      </c>
      <c r="B12" s="222">
        <v>9251</v>
      </c>
      <c r="C12" s="222">
        <v>8630</v>
      </c>
      <c r="D12" s="222">
        <v>7262</v>
      </c>
      <c r="E12" s="222">
        <v>8295</v>
      </c>
      <c r="F12" s="222">
        <v>8206</v>
      </c>
      <c r="G12" s="222">
        <v>8149</v>
      </c>
      <c r="H12" s="222">
        <v>8557</v>
      </c>
    </row>
    <row r="13" spans="1:8" ht="15">
      <c r="A13" s="272" t="str">
        <f>HLOOKUP(INDICE!$F$2,Nombres!$C$3:$D$636,237,FALSE)</f>
        <v>Mexico</v>
      </c>
      <c r="B13" s="222">
        <v>4644</v>
      </c>
      <c r="C13" s="222">
        <v>5143</v>
      </c>
      <c r="D13" s="222">
        <v>5628</v>
      </c>
      <c r="E13" s="222">
        <v>4726</v>
      </c>
      <c r="F13" s="222">
        <v>6430</v>
      </c>
      <c r="G13" s="222">
        <v>4970</v>
      </c>
      <c r="H13" s="222">
        <v>4912</v>
      </c>
    </row>
    <row r="14" spans="1:8" ht="15">
      <c r="A14" s="272" t="str">
        <f>HLOOKUP(INDICE!$F$2,Nombres!$C$3:$D$636,238,FALSE)</f>
        <v>South America</v>
      </c>
      <c r="B14" s="222">
        <v>3529</v>
      </c>
      <c r="C14" s="222">
        <v>3542</v>
      </c>
      <c r="D14" s="222">
        <v>2642</v>
      </c>
      <c r="E14" s="222">
        <v>2417</v>
      </c>
      <c r="F14" s="222">
        <v>2899</v>
      </c>
      <c r="G14" s="222">
        <v>3034</v>
      </c>
      <c r="H14" s="222">
        <v>3265</v>
      </c>
    </row>
    <row r="15" spans="1:8" ht="15">
      <c r="A15" s="285"/>
      <c r="B15" s="276">
        <f aca="true" t="shared" si="0" ref="B15:H15">+B6-B8-B9-B10-B11-B12-B13-B14</f>
        <v>0</v>
      </c>
      <c r="C15" s="276">
        <f t="shared" si="0"/>
        <v>0</v>
      </c>
      <c r="D15" s="276">
        <f t="shared" si="0"/>
        <v>0</v>
      </c>
      <c r="E15" s="276">
        <f t="shared" si="0"/>
        <v>0</v>
      </c>
      <c r="F15" s="276">
        <f t="shared" si="0"/>
        <v>0</v>
      </c>
      <c r="G15" s="276">
        <f t="shared" si="0"/>
        <v>0</v>
      </c>
      <c r="H15" s="276">
        <f t="shared" si="0"/>
        <v>0</v>
      </c>
    </row>
    <row r="16" spans="1:8" ht="15">
      <c r="A16" s="285"/>
      <c r="B16" s="276"/>
      <c r="C16" s="276"/>
      <c r="D16" s="276"/>
      <c r="E16" s="276"/>
      <c r="F16" s="276"/>
      <c r="G16" s="276"/>
      <c r="H16" s="276"/>
    </row>
    <row r="17" spans="1:8" ht="15">
      <c r="A17" s="285"/>
      <c r="B17" s="276"/>
      <c r="C17" s="276"/>
      <c r="D17" s="276"/>
      <c r="E17" s="276"/>
      <c r="F17" s="276"/>
      <c r="G17" s="276"/>
      <c r="H17" s="276"/>
    </row>
    <row r="18" spans="1:8" ht="15.75" customHeight="1">
      <c r="A18" s="219"/>
      <c r="B18" s="298" t="s">
        <v>393</v>
      </c>
      <c r="C18" s="298"/>
      <c r="D18" s="298"/>
      <c r="E18" s="298"/>
      <c r="F18" s="298"/>
      <c r="G18" s="298"/>
      <c r="H18" s="298"/>
    </row>
    <row r="19" spans="1:8" ht="15.75">
      <c r="A19" s="220"/>
      <c r="B19" s="126">
        <f aca="true" t="shared" si="1" ref="B19:H19">+B$5</f>
        <v>43190</v>
      </c>
      <c r="C19" s="126">
        <f t="shared" si="1"/>
        <v>43281</v>
      </c>
      <c r="D19" s="126">
        <f t="shared" si="1"/>
        <v>43373</v>
      </c>
      <c r="E19" s="126">
        <f t="shared" si="1"/>
        <v>43465</v>
      </c>
      <c r="F19" s="126">
        <f t="shared" si="1"/>
        <v>43555</v>
      </c>
      <c r="G19" s="126">
        <f t="shared" si="1"/>
        <v>43646</v>
      </c>
      <c r="H19" s="126">
        <f t="shared" si="1"/>
        <v>43738</v>
      </c>
    </row>
    <row r="20" spans="1:8" ht="15">
      <c r="A20" s="271" t="str">
        <f>HLOOKUP(INDICE!$F$2,Nombres!$C$3:$D$636,230,FALSE)</f>
        <v>BBVA Group</v>
      </c>
      <c r="B20" s="224">
        <v>16902.25</v>
      </c>
      <c r="C20" s="224">
        <v>17973.13</v>
      </c>
      <c r="D20" s="224">
        <v>17588.81</v>
      </c>
      <c r="E20" s="224">
        <v>17537.54</v>
      </c>
      <c r="F20" s="224">
        <v>21015.82</v>
      </c>
      <c r="G20" s="224">
        <v>21479</v>
      </c>
      <c r="H20" s="224">
        <v>23362</v>
      </c>
    </row>
    <row r="21" spans="1:8" ht="15">
      <c r="A21" s="272" t="str">
        <f>HLOOKUP(INDICE!$F$2,Nombres!$C$3:$D$636,231,FALSE)</f>
        <v>Euro Balance</v>
      </c>
      <c r="B21" s="222">
        <v>11378</v>
      </c>
      <c r="C21" s="222">
        <v>12303</v>
      </c>
      <c r="D21" s="222">
        <v>12059</v>
      </c>
      <c r="E21" s="222">
        <v>11002</v>
      </c>
      <c r="F21" s="222">
        <v>12432</v>
      </c>
      <c r="G21" s="222">
        <v>12599</v>
      </c>
      <c r="H21" s="222">
        <v>12737</v>
      </c>
    </row>
    <row r="22" spans="1:8" ht="15">
      <c r="A22" s="273" t="str">
        <f>HLOOKUP(INDICE!$F$2,Nombres!$C$3:$D$636,232,FALSE)</f>
        <v>Spain</v>
      </c>
      <c r="B22" s="222">
        <v>7458</v>
      </c>
      <c r="C22" s="222">
        <v>7902</v>
      </c>
      <c r="D22" s="222">
        <v>7730</v>
      </c>
      <c r="E22" s="222">
        <v>7700</v>
      </c>
      <c r="F22" s="222">
        <v>9149</v>
      </c>
      <c r="G22" s="222">
        <v>9368</v>
      </c>
      <c r="H22" s="222">
        <v>9524</v>
      </c>
    </row>
    <row r="23" spans="1:8" ht="15">
      <c r="A23" s="273" t="str">
        <f>HLOOKUP(INDICE!$F$2,Nombres!$C$3:$D$636,233,FALSE)</f>
        <v>Italy</v>
      </c>
      <c r="B23" s="222">
        <v>3517</v>
      </c>
      <c r="C23" s="222">
        <v>4003</v>
      </c>
      <c r="D23" s="222">
        <v>3996</v>
      </c>
      <c r="E23" s="222">
        <v>2989</v>
      </c>
      <c r="F23" s="222">
        <v>2985</v>
      </c>
      <c r="G23" s="222">
        <v>2981</v>
      </c>
      <c r="H23" s="222">
        <v>2977</v>
      </c>
    </row>
    <row r="24" spans="1:8" ht="15">
      <c r="A24" s="274" t="str">
        <f>HLOOKUP(INDICE!$F$2,Nombres!$C$3:$D$636,234,FALSE)</f>
        <v>Rest</v>
      </c>
      <c r="B24" s="222">
        <v>403</v>
      </c>
      <c r="C24" s="222">
        <v>398</v>
      </c>
      <c r="D24" s="222">
        <v>333</v>
      </c>
      <c r="E24" s="222">
        <v>313</v>
      </c>
      <c r="F24" s="222">
        <v>298</v>
      </c>
      <c r="G24" s="222">
        <v>250</v>
      </c>
      <c r="H24" s="222">
        <v>236</v>
      </c>
    </row>
    <row r="25" spans="1:8" ht="15">
      <c r="A25" s="272" t="str">
        <f>HLOOKUP(INDICE!$F$2,Nombres!$C$3:$D$636,235,FALSE)</f>
        <v>USA</v>
      </c>
      <c r="B25" s="222">
        <v>876</v>
      </c>
      <c r="C25" s="222">
        <v>1273</v>
      </c>
      <c r="D25" s="222">
        <v>1494</v>
      </c>
      <c r="E25" s="222">
        <v>1920</v>
      </c>
      <c r="F25" s="222">
        <v>3498</v>
      </c>
      <c r="G25" s="222">
        <v>3758</v>
      </c>
      <c r="H25" s="222">
        <v>5234</v>
      </c>
    </row>
    <row r="26" spans="1:8" ht="15">
      <c r="A26" s="272" t="str">
        <f>HLOOKUP(INDICE!$F$2,Nombres!$C$3:$D$636,236,FALSE)</f>
        <v>Turkey</v>
      </c>
      <c r="B26" s="222">
        <v>4467</v>
      </c>
      <c r="C26" s="222">
        <v>4125</v>
      </c>
      <c r="D26" s="222">
        <v>3548</v>
      </c>
      <c r="E26" s="222">
        <v>4236</v>
      </c>
      <c r="F26" s="222">
        <v>4180</v>
      </c>
      <c r="G26" s="222">
        <v>4236</v>
      </c>
      <c r="H26" s="222">
        <v>4533</v>
      </c>
    </row>
    <row r="27" spans="1:8" ht="15">
      <c r="A27" s="272" t="str">
        <f>HLOOKUP(INDICE!$F$2,Nombres!$C$3:$D$636,237,FALSE)</f>
        <v>Mexico</v>
      </c>
      <c r="B27" s="222">
        <v>0</v>
      </c>
      <c r="C27" s="222">
        <v>87</v>
      </c>
      <c r="D27" s="222">
        <v>321</v>
      </c>
      <c r="E27" s="222">
        <v>311</v>
      </c>
      <c r="F27" s="222">
        <v>784</v>
      </c>
      <c r="G27" s="222">
        <v>779</v>
      </c>
      <c r="H27" s="222">
        <v>792</v>
      </c>
    </row>
    <row r="28" spans="1:8" ht="15">
      <c r="A28" s="272" t="str">
        <f>HLOOKUP(INDICE!$F$2,Nombres!$C$3:$D$636,238,FALSE)</f>
        <v>South America</v>
      </c>
      <c r="B28" s="222">
        <v>181</v>
      </c>
      <c r="C28" s="222">
        <v>185</v>
      </c>
      <c r="D28" s="222">
        <v>166</v>
      </c>
      <c r="E28" s="222">
        <v>68</v>
      </c>
      <c r="F28" s="222">
        <v>122</v>
      </c>
      <c r="G28" s="222">
        <v>107</v>
      </c>
      <c r="H28" s="222">
        <v>66</v>
      </c>
    </row>
    <row r="29" spans="1:8" ht="15">
      <c r="A29" s="285"/>
      <c r="B29" s="276">
        <f aca="true" t="shared" si="2" ref="B29:H29">+B20-B22-B23-B24-B25-B26-B27-B28</f>
        <v>0.25</v>
      </c>
      <c r="C29" s="276">
        <f t="shared" si="2"/>
        <v>0.13000000000101863</v>
      </c>
      <c r="D29" s="276">
        <f t="shared" si="2"/>
        <v>0.8100000000013097</v>
      </c>
      <c r="E29" s="276">
        <f t="shared" si="2"/>
        <v>0.5400000000008731</v>
      </c>
      <c r="F29" s="276">
        <f t="shared" si="2"/>
        <v>-0.18000000000029104</v>
      </c>
      <c r="G29" s="276">
        <f t="shared" si="2"/>
        <v>0</v>
      </c>
      <c r="H29" s="276">
        <f t="shared" si="2"/>
        <v>0</v>
      </c>
    </row>
    <row r="30" spans="1:8" ht="15.75">
      <c r="A30" s="285"/>
      <c r="B30" s="215"/>
      <c r="C30" s="215"/>
      <c r="D30" s="215"/>
      <c r="E30" s="215"/>
      <c r="F30" s="227"/>
      <c r="G30" s="227"/>
      <c r="H30" s="227"/>
    </row>
    <row r="31" spans="1:8" ht="15.75">
      <c r="A31" s="216"/>
      <c r="B31" s="227"/>
      <c r="C31" s="227"/>
      <c r="D31" s="227"/>
      <c r="E31" s="227"/>
      <c r="F31" s="227"/>
      <c r="G31" s="215"/>
      <c r="H31" s="215"/>
    </row>
    <row r="32" spans="1:8" ht="15.75" customHeight="1">
      <c r="A32" s="219"/>
      <c r="B32" s="298" t="s">
        <v>395</v>
      </c>
      <c r="C32" s="298"/>
      <c r="D32" s="298"/>
      <c r="E32" s="298"/>
      <c r="F32" s="298"/>
      <c r="G32" s="298"/>
      <c r="H32" s="298"/>
    </row>
    <row r="33" spans="1:8" ht="15.75">
      <c r="A33" s="220"/>
      <c r="B33" s="126">
        <f aca="true" t="shared" si="3" ref="B33:H33">+B$5</f>
        <v>43190</v>
      </c>
      <c r="C33" s="126">
        <f t="shared" si="3"/>
        <v>43281</v>
      </c>
      <c r="D33" s="126">
        <f t="shared" si="3"/>
        <v>43373</v>
      </c>
      <c r="E33" s="126">
        <f t="shared" si="3"/>
        <v>43465</v>
      </c>
      <c r="F33" s="126">
        <f t="shared" si="3"/>
        <v>43555</v>
      </c>
      <c r="G33" s="126">
        <f t="shared" si="3"/>
        <v>43646</v>
      </c>
      <c r="H33" s="126">
        <f t="shared" si="3"/>
        <v>43738</v>
      </c>
    </row>
    <row r="34" spans="1:8" ht="15">
      <c r="A34" s="271" t="str">
        <f>HLOOKUP(INDICE!$F$2,Nombres!$C$3:$D$636,230,FALSE)</f>
        <v>BBVA Group</v>
      </c>
      <c r="B34" s="224">
        <v>36983.75</v>
      </c>
      <c r="C34" s="224">
        <v>38950.87</v>
      </c>
      <c r="D34" s="224">
        <v>37823.19</v>
      </c>
      <c r="E34" s="224">
        <v>32150.25</v>
      </c>
      <c r="F34" s="224">
        <v>31405.18</v>
      </c>
      <c r="G34" s="224">
        <v>29415</v>
      </c>
      <c r="H34" s="224">
        <v>28235</v>
      </c>
    </row>
    <row r="35" spans="1:8" ht="15">
      <c r="A35" s="221" t="str">
        <f>HLOOKUP(INDICE!$F$2,Nombres!$C$3:$D$636,231,FALSE)</f>
        <v>Euro Balance</v>
      </c>
      <c r="B35" s="222">
        <v>14512</v>
      </c>
      <c r="C35" s="222">
        <v>16096</v>
      </c>
      <c r="D35" s="222">
        <v>16422</v>
      </c>
      <c r="E35" s="222">
        <v>11567</v>
      </c>
      <c r="F35" s="222">
        <v>10560</v>
      </c>
      <c r="G35" s="222">
        <v>10445</v>
      </c>
      <c r="H35" s="222">
        <v>9900</v>
      </c>
    </row>
    <row r="36" spans="1:8" ht="15">
      <c r="A36" s="274" t="str">
        <f>HLOOKUP(INDICE!$F$2,Nombres!$C$3:$D$636,232,FALSE)</f>
        <v>Spain</v>
      </c>
      <c r="B36" s="222">
        <v>9537</v>
      </c>
      <c r="C36" s="222">
        <v>9438</v>
      </c>
      <c r="D36" s="222">
        <v>9424</v>
      </c>
      <c r="E36" s="222">
        <v>6056</v>
      </c>
      <c r="F36" s="222">
        <v>6052</v>
      </c>
      <c r="G36" s="222">
        <v>6048</v>
      </c>
      <c r="H36" s="222">
        <v>5396</v>
      </c>
    </row>
    <row r="37" spans="1:8" ht="15">
      <c r="A37" s="274" t="str">
        <f>HLOOKUP(INDICE!$F$2,Nombres!$C$3:$D$636,233,FALSE)</f>
        <v>Italy</v>
      </c>
      <c r="B37" s="222">
        <v>3627</v>
      </c>
      <c r="C37" s="222">
        <v>3617</v>
      </c>
      <c r="D37" s="222">
        <v>3583</v>
      </c>
      <c r="E37" s="222">
        <v>1598</v>
      </c>
      <c r="F37" s="222">
        <v>1596</v>
      </c>
      <c r="G37" s="222">
        <v>1596</v>
      </c>
      <c r="H37" s="222">
        <v>1595</v>
      </c>
    </row>
    <row r="38" spans="1:8" ht="15">
      <c r="A38" s="274" t="str">
        <f>HLOOKUP(INDICE!$F$2,Nombres!$C$3:$D$636,234,FALSE)</f>
        <v>Rest</v>
      </c>
      <c r="B38" s="222">
        <v>1348</v>
      </c>
      <c r="C38" s="222">
        <v>3041</v>
      </c>
      <c r="D38" s="222">
        <v>3415</v>
      </c>
      <c r="E38" s="222">
        <v>3913</v>
      </c>
      <c r="F38" s="222">
        <v>2912</v>
      </c>
      <c r="G38" s="222">
        <v>2801</v>
      </c>
      <c r="H38" s="222">
        <v>2909</v>
      </c>
    </row>
    <row r="39" spans="1:8" ht="15">
      <c r="A39" s="221" t="str">
        <f>HLOOKUP(INDICE!$F$2,Nombres!$C$3:$D$636,235,FALSE)</f>
        <v>USA</v>
      </c>
      <c r="B39" s="222">
        <v>9696</v>
      </c>
      <c r="C39" s="222">
        <v>9937</v>
      </c>
      <c r="D39" s="222">
        <v>9905</v>
      </c>
      <c r="E39" s="222">
        <v>9761</v>
      </c>
      <c r="F39" s="222">
        <v>8396</v>
      </c>
      <c r="G39" s="222">
        <v>7939</v>
      </c>
      <c r="H39" s="222">
        <v>6993</v>
      </c>
    </row>
    <row r="40" spans="1:8" ht="15">
      <c r="A40" s="221" t="str">
        <f>HLOOKUP(INDICE!$F$2,Nombres!$C$3:$D$636,236,FALSE)</f>
        <v>Turkey</v>
      </c>
      <c r="B40" s="222">
        <v>4784</v>
      </c>
      <c r="C40" s="222">
        <v>4505</v>
      </c>
      <c r="D40" s="222">
        <v>3714</v>
      </c>
      <c r="E40" s="222">
        <v>4059</v>
      </c>
      <c r="F40" s="222">
        <v>4026</v>
      </c>
      <c r="G40" s="222">
        <v>3913</v>
      </c>
      <c r="H40" s="222">
        <v>4024</v>
      </c>
    </row>
    <row r="41" spans="1:8" ht="15">
      <c r="A41" s="221" t="str">
        <f>HLOOKUP(INDICE!$F$2,Nombres!$C$3:$D$636,237,FALSE)</f>
        <v>Mexico</v>
      </c>
      <c r="B41" s="222">
        <v>4644</v>
      </c>
      <c r="C41" s="222">
        <v>5056</v>
      </c>
      <c r="D41" s="222">
        <v>5307</v>
      </c>
      <c r="E41" s="222">
        <v>4415</v>
      </c>
      <c r="F41" s="222">
        <v>5646</v>
      </c>
      <c r="G41" s="222">
        <v>4191</v>
      </c>
      <c r="H41" s="222">
        <v>4119</v>
      </c>
    </row>
    <row r="42" spans="1:8" ht="15">
      <c r="A42" s="221" t="str">
        <f>HLOOKUP(INDICE!$F$2,Nombres!$C$3:$D$636,238,FALSE)</f>
        <v>South America</v>
      </c>
      <c r="B42" s="222">
        <v>3348</v>
      </c>
      <c r="C42" s="222">
        <v>3357</v>
      </c>
      <c r="D42" s="222">
        <v>2476</v>
      </c>
      <c r="E42" s="222">
        <v>2349</v>
      </c>
      <c r="F42" s="222">
        <v>2777</v>
      </c>
      <c r="G42" s="222">
        <v>2927</v>
      </c>
      <c r="H42" s="222">
        <v>3199</v>
      </c>
    </row>
    <row r="43" spans="2:8" ht="15">
      <c r="B43" s="276">
        <f aca="true" t="shared" si="4" ref="B43:H43">+B34-B36-B37-B38-B39-B40-B41-B42</f>
        <v>-0.25</v>
      </c>
      <c r="C43" s="276">
        <f t="shared" si="4"/>
        <v>-0.12999999999738066</v>
      </c>
      <c r="D43" s="276">
        <f t="shared" si="4"/>
        <v>-0.8099999999976717</v>
      </c>
      <c r="E43" s="276">
        <f t="shared" si="4"/>
        <v>-0.75</v>
      </c>
      <c r="F43" s="276">
        <f t="shared" si="4"/>
        <v>0.18000000000029104</v>
      </c>
      <c r="G43" s="276">
        <f t="shared" si="4"/>
        <v>0</v>
      </c>
      <c r="H43" s="276">
        <f t="shared" si="4"/>
        <v>0</v>
      </c>
    </row>
    <row r="1000" ht="15">
      <c r="A1000" s="215" t="s">
        <v>406</v>
      </c>
    </row>
  </sheetData>
  <sheetProtection/>
  <mergeCells count="3">
    <mergeCell ref="B4:H4"/>
    <mergeCell ref="B18:H18"/>
    <mergeCell ref="B32:H32"/>
  </mergeCells>
  <conditionalFormatting sqref="B15:H17">
    <cfRule type="cellIs" priority="3" dxfId="92" operator="notEqual">
      <formula>0</formula>
    </cfRule>
  </conditionalFormatting>
  <conditionalFormatting sqref="B29:H29">
    <cfRule type="cellIs" priority="2" dxfId="92" operator="notBetween">
      <formula>1</formula>
      <formula>-1</formula>
    </cfRule>
  </conditionalFormatting>
  <conditionalFormatting sqref="B43:H43">
    <cfRule type="cellIs" priority="1" dxfId="92" operator="notBetween">
      <formula>1</formula>
      <formula>-1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2" sqref="A2"/>
    </sheetView>
  </sheetViews>
  <sheetFormatPr defaultColWidth="11.421875" defaultRowHeight="15"/>
  <cols>
    <col min="1" max="1" width="62.00390625" style="31" customWidth="1"/>
    <col min="2" max="4" width="11.421875" style="31" customWidth="1"/>
    <col min="5" max="5" width="10.421875" style="31" customWidth="1"/>
    <col min="6" max="16384" width="11.421875" style="31" customWidth="1"/>
  </cols>
  <sheetData>
    <row r="1" spans="1:8" ht="18">
      <c r="A1" s="29" t="str">
        <f>HLOOKUP(INDICE!$F$2,Nombres!$C$3:$D$636,223,FALSE)</f>
        <v>BBVA group. Consolidated income statements proforma (*)</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4176.606153000001</v>
      </c>
      <c r="C8" s="41">
        <v>4188.58255715</v>
      </c>
      <c r="D8" s="41">
        <v>4312.48229484</v>
      </c>
      <c r="E8" s="42">
        <v>4693.87900004</v>
      </c>
      <c r="F8" s="41">
        <v>4420.427999990001</v>
      </c>
      <c r="G8" s="52">
        <v>4566.3269999799995</v>
      </c>
      <c r="H8" s="52">
        <v>4488.12799996</v>
      </c>
    </row>
    <row r="9" spans="1:8" ht="15">
      <c r="A9" s="43" t="str">
        <f>HLOOKUP(INDICE!$F$2,Nombres!$C$3:$D$636,34,FALSE)</f>
        <v>Net fees and commissions</v>
      </c>
      <c r="B9" s="44">
        <v>1220.93767071</v>
      </c>
      <c r="C9" s="44">
        <v>1225.38731735</v>
      </c>
      <c r="D9" s="44">
        <v>1173.78578178</v>
      </c>
      <c r="E9" s="45">
        <v>1226.0434410199998</v>
      </c>
      <c r="F9" s="44">
        <v>1213.99800003</v>
      </c>
      <c r="G9" s="44">
        <v>1255.8010000200002</v>
      </c>
      <c r="H9" s="44">
        <v>1272.97800094</v>
      </c>
    </row>
    <row r="10" spans="1:8" ht="15">
      <c r="A10" s="43" t="str">
        <f>HLOOKUP(INDICE!$F$2,Nombres!$C$3:$D$636,35,FALSE)</f>
        <v>Net trading income</v>
      </c>
      <c r="B10" s="44">
        <v>391.92856572000005</v>
      </c>
      <c r="C10" s="44">
        <v>266.58821086</v>
      </c>
      <c r="D10" s="44">
        <v>212.27109574999997</v>
      </c>
      <c r="E10" s="45">
        <v>316.1839830000001</v>
      </c>
      <c r="F10" s="44">
        <v>426.1780000399999</v>
      </c>
      <c r="G10" s="44">
        <v>116.03799997</v>
      </c>
      <c r="H10" s="44">
        <v>351.23399699999993</v>
      </c>
    </row>
    <row r="11" spans="1:8" ht="15">
      <c r="A11" s="43" t="str">
        <f>HLOOKUP(INDICE!$F$2,Nombres!$C$3:$D$636,96,FALSE)</f>
        <v>Dividend income</v>
      </c>
      <c r="B11" s="44">
        <v>11.492848180000028</v>
      </c>
      <c r="C11" s="44">
        <v>71.55175590999997</v>
      </c>
      <c r="D11" s="44">
        <v>11.52639591000019</v>
      </c>
      <c r="E11" s="45">
        <v>62.34199999999962</v>
      </c>
      <c r="F11" s="44">
        <v>10.28400000000002</v>
      </c>
      <c r="G11" s="44">
        <v>92.24199998999993</v>
      </c>
      <c r="H11" s="44">
        <v>1.3880000000002057</v>
      </c>
    </row>
    <row r="12" spans="1:8" ht="15">
      <c r="A12" s="43" t="str">
        <f>HLOOKUP(INDICE!$F$2,Nombres!$C$3:$D$636,97,FALSE)</f>
        <v>Share of  profit/loss of invest. in subsidaries, joint ventures and associates</v>
      </c>
      <c r="B12" s="44">
        <v>7.89450419</v>
      </c>
      <c r="C12" s="44">
        <v>5.04038583</v>
      </c>
      <c r="D12" s="44">
        <v>-1.6138900200000004</v>
      </c>
      <c r="E12" s="45">
        <v>-18.819000000000003</v>
      </c>
      <c r="F12" s="44">
        <v>-4.149</v>
      </c>
      <c r="G12" s="44">
        <v>-15.067</v>
      </c>
      <c r="H12" s="44">
        <v>-6.136999999999996</v>
      </c>
    </row>
    <row r="13" spans="1:8" ht="15">
      <c r="A13" s="43" t="str">
        <f>HLOOKUP(INDICE!$F$2,Nombres!$C$3:$D$636,98,FALSE)</f>
        <v>Other products and expenses</v>
      </c>
      <c r="B13" s="44">
        <v>67.93321659</v>
      </c>
      <c r="C13" s="44">
        <v>-74.38926781</v>
      </c>
      <c r="D13" s="44">
        <v>28.341051200000052</v>
      </c>
      <c r="E13" s="45">
        <v>-125.93199999000004</v>
      </c>
      <c r="F13" s="44">
        <v>1.9210000099999922</v>
      </c>
      <c r="G13" s="44">
        <v>-95.17799996999997</v>
      </c>
      <c r="H13" s="44">
        <v>27.21699996000006</v>
      </c>
    </row>
    <row r="14" spans="1:8" ht="15">
      <c r="A14" s="41" t="str">
        <f>HLOOKUP(INDICE!$F$2,Nombres!$C$3:$D$636,37,FALSE)</f>
        <v>Gross income</v>
      </c>
      <c r="B14" s="41">
        <f>+SUM(B8:B13)</f>
        <v>5876.7929583899995</v>
      </c>
      <c r="C14" s="41">
        <f aca="true" t="shared" si="0" ref="C14:H14">+SUM(C8:C13)</f>
        <v>5682.76095929</v>
      </c>
      <c r="D14" s="41">
        <f t="shared" si="0"/>
        <v>5736.7927294599995</v>
      </c>
      <c r="E14" s="42">
        <f t="shared" si="0"/>
        <v>6153.697424069999</v>
      </c>
      <c r="F14" s="41">
        <f t="shared" si="0"/>
        <v>6068.66000007</v>
      </c>
      <c r="G14" s="52">
        <f t="shared" si="0"/>
        <v>5920.16299999</v>
      </c>
      <c r="H14" s="52">
        <f t="shared" si="0"/>
        <v>6134.807997860001</v>
      </c>
    </row>
    <row r="15" spans="1:8" ht="15">
      <c r="A15" s="43" t="str">
        <f>HLOOKUP(INDICE!$F$2,Nombres!$C$3:$D$636,38,FALSE)</f>
        <v>Operating expenses</v>
      </c>
      <c r="B15" s="44">
        <v>-2902.31623323</v>
      </c>
      <c r="C15" s="44">
        <v>-2842.1338720699996</v>
      </c>
      <c r="D15" s="44">
        <v>-2827.0201155</v>
      </c>
      <c r="E15" s="45">
        <v>-2982.24300009</v>
      </c>
      <c r="F15" s="44">
        <v>-2921.7899998999997</v>
      </c>
      <c r="G15" s="44">
        <v>-2952.37800013</v>
      </c>
      <c r="H15" s="44">
        <v>-2945.60500104</v>
      </c>
    </row>
    <row r="16" spans="1:8" ht="15">
      <c r="A16" s="43" t="str">
        <f>HLOOKUP(INDICE!$F$2,Nombres!$C$3:$D$636,39,FALSE)</f>
        <v>  Administration expenses</v>
      </c>
      <c r="B16" s="44">
        <v>-2601.841494</v>
      </c>
      <c r="C16" s="44">
        <v>-2552.5634290099997</v>
      </c>
      <c r="D16" s="44">
        <v>-2522.5032977799997</v>
      </c>
      <c r="E16" s="45">
        <v>-2677.59100011</v>
      </c>
      <c r="F16" s="44">
        <v>-2529.8269999100003</v>
      </c>
      <c r="G16" s="44">
        <v>-2553.92900009</v>
      </c>
      <c r="H16" s="44">
        <v>-2543.04100105</v>
      </c>
    </row>
    <row r="17" spans="1:8" ht="15">
      <c r="A17" s="46" t="str">
        <f>HLOOKUP(INDICE!$F$2,Nombres!$C$3:$D$636,40,FALSE)</f>
        <v>  Personnel expenses</v>
      </c>
      <c r="B17" s="44">
        <v>-1527.2774623</v>
      </c>
      <c r="C17" s="44">
        <v>-1492.92813589</v>
      </c>
      <c r="D17" s="44">
        <v>-1460.0334017999999</v>
      </c>
      <c r="E17" s="45">
        <v>-1557.69400003</v>
      </c>
      <c r="F17" s="44">
        <v>-1552.57500002</v>
      </c>
      <c r="G17" s="44">
        <v>-1578.3360000300002</v>
      </c>
      <c r="H17" s="44">
        <v>-1572.27499993</v>
      </c>
    </row>
    <row r="18" spans="1:8" ht="15">
      <c r="A18" s="46" t="str">
        <f>HLOOKUP(INDICE!$F$2,Nombres!$C$3:$D$636,41,FALSE)</f>
        <v>  General and administrative expenses</v>
      </c>
      <c r="B18" s="44">
        <v>-1074.5640317</v>
      </c>
      <c r="C18" s="44">
        <v>-1059.63529312</v>
      </c>
      <c r="D18" s="44">
        <v>-1062.4698959799998</v>
      </c>
      <c r="E18" s="45">
        <v>-1119.89700008</v>
      </c>
      <c r="F18" s="44">
        <v>-977.25199989</v>
      </c>
      <c r="G18" s="44">
        <v>-975.5930000599999</v>
      </c>
      <c r="H18" s="44">
        <v>-970.76600112</v>
      </c>
    </row>
    <row r="19" spans="1:8" ht="15">
      <c r="A19" s="43" t="str">
        <f>HLOOKUP(INDICE!$F$2,Nombres!$C$3:$D$636,42,FALSE)</f>
        <v>  Depreciation</v>
      </c>
      <c r="B19" s="44">
        <v>-300.47473923</v>
      </c>
      <c r="C19" s="44">
        <v>-289.57044306</v>
      </c>
      <c r="D19" s="44">
        <v>-304.51681771999995</v>
      </c>
      <c r="E19" s="45">
        <v>-304.65199997999997</v>
      </c>
      <c r="F19" s="44">
        <v>-391.96299998999996</v>
      </c>
      <c r="G19" s="44">
        <v>-398.44900004</v>
      </c>
      <c r="H19" s="44">
        <v>-402.56399998999996</v>
      </c>
    </row>
    <row r="20" spans="1:8" ht="15">
      <c r="A20" s="41" t="str">
        <f>HLOOKUP(INDICE!$F$2,Nombres!$C$3:$D$636,43,FALSE)</f>
        <v>Operating income</v>
      </c>
      <c r="B20" s="41">
        <f>+B14+B15</f>
        <v>2974.4767251599997</v>
      </c>
      <c r="C20" s="41">
        <f aca="true" t="shared" si="1" ref="C20:H20">+C14+C15</f>
        <v>2840.6270872200002</v>
      </c>
      <c r="D20" s="41">
        <f t="shared" si="1"/>
        <v>2909.7726139599995</v>
      </c>
      <c r="E20" s="42">
        <f t="shared" si="1"/>
        <v>3171.4544239799993</v>
      </c>
      <c r="F20" s="41">
        <f t="shared" si="1"/>
        <v>3146.8700001700004</v>
      </c>
      <c r="G20" s="52">
        <f t="shared" si="1"/>
        <v>2967.7849998599995</v>
      </c>
      <c r="H20" s="52">
        <f t="shared" si="1"/>
        <v>3189.202996820001</v>
      </c>
    </row>
    <row r="21" spans="1:8" ht="15">
      <c r="A21" s="43" t="str">
        <f>HLOOKUP(INDICE!$F$2,Nombres!$C$3:$D$636,44,FALSE)</f>
        <v>Impaiment on financial assets not measured at fair value through profit or loss</v>
      </c>
      <c r="B21" s="44">
        <v>-796.5965121900001</v>
      </c>
      <c r="C21" s="44">
        <v>-769.63177929</v>
      </c>
      <c r="D21" s="44">
        <v>-1023.19670849</v>
      </c>
      <c r="E21" s="45">
        <v>-1352.88600006</v>
      </c>
      <c r="F21" s="44">
        <v>-1023.2300000600001</v>
      </c>
      <c r="G21" s="44">
        <v>-753.49599992</v>
      </c>
      <c r="H21" s="44">
        <v>-1186.94000001</v>
      </c>
    </row>
    <row r="22" spans="1:8" ht="15">
      <c r="A22" s="43" t="str">
        <f>HLOOKUP(INDICE!$F$2,Nombres!$C$3:$D$636,45,FALSE)</f>
        <v>Provisions or reversal of provisions and other results</v>
      </c>
      <c r="B22" s="44">
        <v>-60.209929999999964</v>
      </c>
      <c r="C22" s="44">
        <v>-19.30054475000003</v>
      </c>
      <c r="D22" s="44">
        <v>-158.63981327000005</v>
      </c>
      <c r="E22" s="45">
        <v>-249.5869999099999</v>
      </c>
      <c r="F22" s="44">
        <v>-166.39999998000002</v>
      </c>
      <c r="G22" s="44">
        <v>-119.19799999999996</v>
      </c>
      <c r="H22" s="44">
        <v>-116.55599999</v>
      </c>
    </row>
    <row r="23" spans="1:8" ht="15">
      <c r="A23" s="41" t="str">
        <f>HLOOKUP(INDICE!$F$2,Nombres!$C$3:$D$636,46,FALSE)</f>
        <v>Profit/(loss) before tax</v>
      </c>
      <c r="B23" s="41">
        <f>+B20+B21+B22</f>
        <v>2117.67028297</v>
      </c>
      <c r="C23" s="41">
        <f aca="true" t="shared" si="2" ref="C23:H23">+C20+C21+C22</f>
        <v>2051.6947631800003</v>
      </c>
      <c r="D23" s="41">
        <f t="shared" si="2"/>
        <v>1727.9360921999994</v>
      </c>
      <c r="E23" s="42">
        <f t="shared" si="2"/>
        <v>1568.9814240099995</v>
      </c>
      <c r="F23" s="41">
        <f t="shared" si="2"/>
        <v>1957.24000013</v>
      </c>
      <c r="G23" s="52">
        <f t="shared" si="2"/>
        <v>2095.0909999399996</v>
      </c>
      <c r="H23" s="52">
        <f t="shared" si="2"/>
        <v>1885.706996820001</v>
      </c>
    </row>
    <row r="24" spans="1:8" ht="15">
      <c r="A24" s="43" t="str">
        <f>HLOOKUP(INDICE!$F$2,Nombres!$C$3:$D$636,47,FALSE)</f>
        <v>Income tax</v>
      </c>
      <c r="B24" s="44">
        <v>-606.1138565799998</v>
      </c>
      <c r="C24" s="44">
        <v>-594.9379736599999</v>
      </c>
      <c r="D24" s="44">
        <v>-419.30542797999993</v>
      </c>
      <c r="E24" s="45">
        <v>-421.14903807999997</v>
      </c>
      <c r="F24" s="44">
        <v>-559.37899996</v>
      </c>
      <c r="G24" s="44">
        <v>-576.54900006</v>
      </c>
      <c r="H24" s="44">
        <v>-487.53199999000003</v>
      </c>
    </row>
    <row r="25" spans="1:8" ht="15">
      <c r="A25" s="41" t="str">
        <f>HLOOKUP(INDICE!$F$2,Nombres!$C$3:$D$636,99,FALSE)</f>
        <v>Result after continuing operation tax</v>
      </c>
      <c r="B25" s="41">
        <f>+B23+B24</f>
        <v>1511.55642639</v>
      </c>
      <c r="C25" s="41">
        <f aca="true" t="shared" si="3" ref="C25:H25">+C23+C24</f>
        <v>1456.7567895200004</v>
      </c>
      <c r="D25" s="41">
        <f t="shared" si="3"/>
        <v>1308.6306642199995</v>
      </c>
      <c r="E25" s="42">
        <f t="shared" si="3"/>
        <v>1147.8323859299994</v>
      </c>
      <c r="F25" s="41">
        <f t="shared" si="3"/>
        <v>1397.86100017</v>
      </c>
      <c r="G25" s="52">
        <f t="shared" si="3"/>
        <v>1518.5419998799996</v>
      </c>
      <c r="H25" s="52">
        <f t="shared" si="3"/>
        <v>1398.174996830001</v>
      </c>
    </row>
    <row r="26" spans="1:8" ht="15">
      <c r="A26" s="43" t="str">
        <f>HLOOKUP(INDICE!$F$2,Nombres!$C$3:$D$636,227,FALSE)</f>
        <v>Result from corporate operations</v>
      </c>
      <c r="B26" s="44">
        <v>0</v>
      </c>
      <c r="C26" s="44">
        <v>0</v>
      </c>
      <c r="D26" s="44">
        <v>0</v>
      </c>
      <c r="E26" s="45">
        <v>0</v>
      </c>
      <c r="F26" s="44">
        <v>0</v>
      </c>
      <c r="G26" s="44">
        <v>0</v>
      </c>
      <c r="H26" s="44">
        <v>0</v>
      </c>
    </row>
    <row r="27" spans="1:8" ht="15">
      <c r="A27" s="41" t="str">
        <f>HLOOKUP(INDICE!$F$2,Nombres!$C$3:$D$636,48,FALSE)</f>
        <v>Profit/(loss) for the year</v>
      </c>
      <c r="B27" s="41">
        <f>+B25+B26</f>
        <v>1511.55642639</v>
      </c>
      <c r="C27" s="41">
        <f aca="true" t="shared" si="4" ref="C27:H27">+C25+C26</f>
        <v>1456.7567895200004</v>
      </c>
      <c r="D27" s="41">
        <f t="shared" si="4"/>
        <v>1308.6306642199995</v>
      </c>
      <c r="E27" s="42">
        <f t="shared" si="4"/>
        <v>1147.8323859299994</v>
      </c>
      <c r="F27" s="41">
        <f t="shared" si="4"/>
        <v>1397.86100017</v>
      </c>
      <c r="G27" s="52">
        <f t="shared" si="4"/>
        <v>1518.5419998799996</v>
      </c>
      <c r="H27" s="52">
        <f t="shared" si="4"/>
        <v>1398.174996830001</v>
      </c>
    </row>
    <row r="28" spans="1:8" ht="15">
      <c r="A28" s="43" t="str">
        <f>HLOOKUP(INDICE!$F$2,Nombres!$C$3:$D$636,49,FALSE)</f>
        <v>Non-controlling interests</v>
      </c>
      <c r="B28" s="44">
        <v>-250.24416378</v>
      </c>
      <c r="C28" s="44">
        <v>-247.73108285</v>
      </c>
      <c r="D28" s="44">
        <v>-154.28835877999998</v>
      </c>
      <c r="E28" s="45">
        <v>-145.60485398</v>
      </c>
      <c r="F28" s="44">
        <v>-234.01900000999998</v>
      </c>
      <c r="G28" s="44">
        <v>-240.50699998</v>
      </c>
      <c r="H28" s="44">
        <v>-173.22900003000004</v>
      </c>
    </row>
    <row r="29" spans="1:8" ht="15">
      <c r="A29" s="47" t="str">
        <f>HLOOKUP(INDICE!$F$2,Nombres!$C$3:$D$636,50,FALSE)</f>
        <v>Net attributable profit</v>
      </c>
      <c r="B29" s="47">
        <f>+B27+B28</f>
        <v>1261.31226261</v>
      </c>
      <c r="C29" s="47">
        <f aca="true" t="shared" si="5" ref="C29:H29">+C27+C28</f>
        <v>1209.0257066700005</v>
      </c>
      <c r="D29" s="47">
        <f t="shared" si="5"/>
        <v>1154.3423054399996</v>
      </c>
      <c r="E29" s="47">
        <f t="shared" si="5"/>
        <v>1002.2275319499994</v>
      </c>
      <c r="F29" s="47">
        <f t="shared" si="5"/>
        <v>1163.84200016</v>
      </c>
      <c r="G29" s="53">
        <f t="shared" si="5"/>
        <v>1278.0349998999995</v>
      </c>
      <c r="H29" s="53">
        <f t="shared" si="5"/>
        <v>1224.945996800001</v>
      </c>
    </row>
    <row r="30" spans="2:8" ht="15">
      <c r="B30" s="48">
        <v>0</v>
      </c>
      <c r="C30" s="48">
        <v>0</v>
      </c>
      <c r="D30" s="48">
        <v>0</v>
      </c>
      <c r="E30" s="48">
        <v>-1.0231815394945443E-12</v>
      </c>
      <c r="F30" s="48">
        <v>0</v>
      </c>
      <c r="G30" s="48">
        <v>0</v>
      </c>
      <c r="H30" s="48">
        <v>0</v>
      </c>
    </row>
    <row r="31" spans="1:9" ht="15" customHeight="1">
      <c r="A31" s="287" t="str">
        <f>HLOOKUP(INDICE!$F$2,Nombres!$C$3:$D$636,224,FALSE)</f>
        <v>(*) Not including BBVA Chile`s profit for the 2 first quarters of 2018 and net capital gains in 3Q 2018 of its sale .</v>
      </c>
      <c r="B31" s="287"/>
      <c r="C31" s="287"/>
      <c r="D31" s="287"/>
      <c r="E31" s="287"/>
      <c r="F31" s="287"/>
      <c r="G31" s="287"/>
      <c r="H31" s="287"/>
      <c r="I31" s="286"/>
    </row>
    <row r="32" spans="1:9" ht="47.25" customHeight="1">
      <c r="A32"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32" s="287"/>
      <c r="C32" s="287"/>
      <c r="D32" s="287"/>
      <c r="E32" s="287"/>
      <c r="F32" s="287"/>
      <c r="G32" s="287"/>
      <c r="H32" s="287"/>
      <c r="I32" s="286"/>
    </row>
    <row r="33" spans="1:8" ht="15">
      <c r="A33" s="49"/>
      <c r="B33" s="50"/>
      <c r="C33" s="50"/>
      <c r="D33" s="50"/>
      <c r="E33" s="50"/>
      <c r="F33" s="50"/>
      <c r="G33" s="50"/>
      <c r="H33" s="50"/>
    </row>
    <row r="34" spans="1:8" ht="15">
      <c r="A34" s="43"/>
      <c r="B34" s="51"/>
      <c r="C34" s="51"/>
      <c r="D34" s="51"/>
      <c r="E34" s="51"/>
      <c r="F34" s="51"/>
      <c r="G34" s="51"/>
      <c r="H34" s="51"/>
    </row>
    <row r="35" spans="2:8" ht="15">
      <c r="B35" s="51"/>
      <c r="C35" s="51"/>
      <c r="D35" s="51"/>
      <c r="E35" s="51"/>
      <c r="F35" s="51"/>
      <c r="G35" s="51"/>
      <c r="H35" s="51"/>
    </row>
    <row r="38" spans="1:8" ht="18">
      <c r="A38" s="33" t="str">
        <f>HLOOKUP(INDICE!$F$2,Nombres!$C$3:$D$636,31,FALSE)</f>
        <v>Income statement  </v>
      </c>
      <c r="B38" s="34"/>
      <c r="C38" s="34"/>
      <c r="D38" s="34"/>
      <c r="E38" s="34"/>
      <c r="F38" s="34"/>
      <c r="G38" s="34"/>
      <c r="H38" s="34"/>
    </row>
    <row r="39" spans="1:8" ht="15">
      <c r="A39" s="35" t="str">
        <f>HLOOKUP(INDICE!$F$2,Nombres!$C$3:$D$636,73,FALSE)</f>
        <v>(Constant million euros)    </v>
      </c>
      <c r="B39" s="30"/>
      <c r="C39" s="36"/>
      <c r="D39" s="36"/>
      <c r="E39" s="36"/>
      <c r="F39" s="30"/>
      <c r="G39" s="30"/>
      <c r="H39" s="30"/>
    </row>
    <row r="40" spans="1:8" ht="15">
      <c r="A40" s="37"/>
      <c r="B40" s="30"/>
      <c r="C40" s="36"/>
      <c r="D40" s="36"/>
      <c r="E40" s="36"/>
      <c r="F40" s="30"/>
      <c r="G40" s="30"/>
      <c r="H40" s="30"/>
    </row>
    <row r="41" spans="1:8" ht="15.75">
      <c r="A41" s="38"/>
      <c r="B41" s="288">
        <f>+B6</f>
        <v>2018</v>
      </c>
      <c r="C41" s="288"/>
      <c r="D41" s="288"/>
      <c r="E41" s="289"/>
      <c r="F41" s="278">
        <f>+F6</f>
        <v>2019</v>
      </c>
      <c r="G41" s="277"/>
      <c r="H41" s="277"/>
    </row>
    <row r="42" spans="1:8" ht="15.75">
      <c r="A42" s="38"/>
      <c r="B42" s="39" t="str">
        <f>+B7</f>
        <v>1Q</v>
      </c>
      <c r="C42" s="39" t="str">
        <f>+C7</f>
        <v>2Q</v>
      </c>
      <c r="D42" s="39" t="str">
        <f>+D7</f>
        <v>3Q</v>
      </c>
      <c r="E42" s="40" t="str">
        <f>+E7</f>
        <v>4Q</v>
      </c>
      <c r="F42" s="39" t="str">
        <f>+F7</f>
        <v>1Q</v>
      </c>
      <c r="G42" s="39" t="str">
        <f>+G7</f>
        <v>2Q</v>
      </c>
      <c r="H42" s="39" t="str">
        <f>+H7</f>
        <v>3Q</v>
      </c>
    </row>
    <row r="43" spans="1:8" ht="15">
      <c r="A43" s="41" t="str">
        <f>HLOOKUP(INDICE!$F$2,Nombres!$C$3:$D$636,33,FALSE)</f>
        <v>Net interest income</v>
      </c>
      <c r="B43" s="41">
        <v>4009.524267772039</v>
      </c>
      <c r="C43" s="41">
        <v>4132.1342527019515</v>
      </c>
      <c r="D43" s="41">
        <v>4445.455441289123</v>
      </c>
      <c r="E43" s="42">
        <v>4677.19725194198</v>
      </c>
      <c r="F43" s="52">
        <v>4364.139210172287</v>
      </c>
      <c r="G43" s="52">
        <v>4525.142452219897</v>
      </c>
      <c r="H43" s="52">
        <v>4585.601337537814</v>
      </c>
    </row>
    <row r="44" spans="1:8" ht="15">
      <c r="A44" s="43" t="str">
        <f>HLOOKUP(INDICE!$F$2,Nombres!$C$3:$D$636,34,FALSE)</f>
        <v>Net fees and commissions</v>
      </c>
      <c r="B44" s="44">
        <v>1176.6351307802047</v>
      </c>
      <c r="C44" s="44">
        <v>1220.366375844893</v>
      </c>
      <c r="D44" s="44">
        <v>1209.4978447627802</v>
      </c>
      <c r="E44" s="45">
        <v>1225.8300860590025</v>
      </c>
      <c r="F44" s="44">
        <v>1204.1814591966288</v>
      </c>
      <c r="G44" s="44">
        <v>1251.4919192008542</v>
      </c>
      <c r="H44" s="44">
        <v>1287.103622592517</v>
      </c>
    </row>
    <row r="45" spans="1:8" ht="15">
      <c r="A45" s="43" t="str">
        <f>HLOOKUP(INDICE!$F$2,Nombres!$C$3:$D$636,35,FALSE)</f>
        <v>Net trading income</v>
      </c>
      <c r="B45" s="44">
        <v>371.6402337838816</v>
      </c>
      <c r="C45" s="44">
        <v>269.5280523010697</v>
      </c>
      <c r="D45" s="44">
        <v>218.98515005761243</v>
      </c>
      <c r="E45" s="45">
        <v>309.65517576502054</v>
      </c>
      <c r="F45" s="44">
        <v>398.7844334080369</v>
      </c>
      <c r="G45" s="44">
        <v>109.09671997701741</v>
      </c>
      <c r="H45" s="44">
        <v>385.5688436249457</v>
      </c>
    </row>
    <row r="46" spans="1:8" ht="15">
      <c r="A46" s="43" t="str">
        <f>HLOOKUP(INDICE!$F$2,Nombres!$C$3:$D$636,96,FALSE)</f>
        <v>Dividend income</v>
      </c>
      <c r="B46" s="44">
        <v>11.55972887661008</v>
      </c>
      <c r="C46" s="44">
        <v>70.79502931515377</v>
      </c>
      <c r="D46" s="44">
        <v>12.181233124716467</v>
      </c>
      <c r="E46" s="45">
        <v>62.352523794936495</v>
      </c>
      <c r="F46" s="44">
        <v>10.204888110092428</v>
      </c>
      <c r="G46" s="44">
        <v>88.4304496817858</v>
      </c>
      <c r="H46" s="44">
        <v>5.278662198121917</v>
      </c>
    </row>
    <row r="47" spans="1:8" ht="15">
      <c r="A47" s="43" t="str">
        <f>HLOOKUP(INDICE!$F$2,Nombres!$C$3:$D$636,97,FALSE)</f>
        <v>Share of  profit/loss of invest. in subsidaries, joint ventures and associates</v>
      </c>
      <c r="B47" s="44">
        <v>6.347073252292763</v>
      </c>
      <c r="C47" s="44">
        <v>4.061511053038682</v>
      </c>
      <c r="D47" s="44">
        <v>-0.3279881826593978</v>
      </c>
      <c r="E47" s="45">
        <v>-15.848746920319531</v>
      </c>
      <c r="F47" s="44">
        <v>-3.76177536622758</v>
      </c>
      <c r="G47" s="44">
        <v>-14.836160744887898</v>
      </c>
      <c r="H47" s="44">
        <v>-6.755063888884515</v>
      </c>
    </row>
    <row r="48" spans="1:8" ht="15">
      <c r="A48" s="43" t="str">
        <f>HLOOKUP(INDICE!$F$2,Nombres!$C$3:$D$636,98,FALSE)</f>
        <v>Other products and expenses</v>
      </c>
      <c r="B48" s="44">
        <v>57.83098735039299</v>
      </c>
      <c r="C48" s="44">
        <v>-75.97547503777304</v>
      </c>
      <c r="D48" s="44">
        <v>35.07653757863141</v>
      </c>
      <c r="E48" s="45">
        <v>-129.49349637073226</v>
      </c>
      <c r="F48" s="44">
        <v>7.348720061653341</v>
      </c>
      <c r="G48" s="44">
        <v>-89.34632385488734</v>
      </c>
      <c r="H48" s="44">
        <v>15.957603793233986</v>
      </c>
    </row>
    <row r="49" spans="1:8" ht="15">
      <c r="A49" s="41" t="str">
        <f>HLOOKUP(INDICE!$F$2,Nombres!$C$3:$D$636,37,FALSE)</f>
        <v>Gross income</v>
      </c>
      <c r="B49" s="41">
        <f>+SUM(B43:B48)</f>
        <v>5633.537421815421</v>
      </c>
      <c r="C49" s="41">
        <f aca="true" t="shared" si="6" ref="C49:H49">+SUM(C43:C48)</f>
        <v>5620.909746178333</v>
      </c>
      <c r="D49" s="41">
        <f t="shared" si="6"/>
        <v>5920.868218630204</v>
      </c>
      <c r="E49" s="42">
        <f t="shared" si="6"/>
        <v>6129.692794269888</v>
      </c>
      <c r="F49" s="52">
        <f t="shared" si="6"/>
        <v>5980.89693558247</v>
      </c>
      <c r="G49" s="52">
        <f t="shared" si="6"/>
        <v>5869.979056479779</v>
      </c>
      <c r="H49" s="52">
        <f t="shared" si="6"/>
        <v>6272.755005857749</v>
      </c>
    </row>
    <row r="50" spans="1:8" ht="15">
      <c r="A50" s="43" t="str">
        <f>HLOOKUP(INDICE!$F$2,Nombres!$C$3:$D$636,38,FALSE)</f>
        <v>Operating expenses</v>
      </c>
      <c r="B50" s="44">
        <v>-2799.6765471350336</v>
      </c>
      <c r="C50" s="44">
        <v>-2829.254025303792</v>
      </c>
      <c r="D50" s="44">
        <v>-2921.081498770503</v>
      </c>
      <c r="E50" s="45">
        <v>-2965.265038826691</v>
      </c>
      <c r="F50" s="44">
        <v>-2897.8596199069348</v>
      </c>
      <c r="G50" s="44">
        <v>-2936.6633276994776</v>
      </c>
      <c r="H50" s="44">
        <v>-2985.2500534635874</v>
      </c>
    </row>
    <row r="51" spans="1:8" ht="15">
      <c r="A51" s="43" t="str">
        <f>HLOOKUP(INDICE!$F$2,Nombres!$C$3:$D$636,39,FALSE)</f>
        <v>  Administration expenses</v>
      </c>
      <c r="B51" s="44">
        <v>-2505.364407100728</v>
      </c>
      <c r="C51" s="44">
        <v>-2540.1409817148824</v>
      </c>
      <c r="D51" s="44">
        <v>-2608.5850403727636</v>
      </c>
      <c r="E51" s="45">
        <v>-2659.145444262108</v>
      </c>
      <c r="F51" s="44">
        <v>-2507.776704037868</v>
      </c>
      <c r="G51" s="44">
        <v>-2538.585830614877</v>
      </c>
      <c r="H51" s="44">
        <v>-2580.4344663972547</v>
      </c>
    </row>
    <row r="52" spans="1:8" ht="15">
      <c r="A52" s="46" t="str">
        <f>HLOOKUP(INDICE!$F$2,Nombres!$C$3:$D$636,40,FALSE)</f>
        <v>  Personnel expenses</v>
      </c>
      <c r="B52" s="44">
        <v>-1474.0927472111364</v>
      </c>
      <c r="C52" s="44">
        <v>-1482.8257055851925</v>
      </c>
      <c r="D52" s="44">
        <v>-1507.8292198122178</v>
      </c>
      <c r="E52" s="45">
        <v>-1547.342977860443</v>
      </c>
      <c r="F52" s="44">
        <v>-1538.3560954824984</v>
      </c>
      <c r="G52" s="44">
        <v>-1569.3620148721839</v>
      </c>
      <c r="H52" s="44">
        <v>-1595.467889625318</v>
      </c>
    </row>
    <row r="53" spans="1:8" ht="15">
      <c r="A53" s="46" t="str">
        <f>HLOOKUP(INDICE!$F$2,Nombres!$C$3:$D$636,41,FALSE)</f>
        <v>  General and administrative expenses</v>
      </c>
      <c r="B53" s="44">
        <v>-1031.2716598895918</v>
      </c>
      <c r="C53" s="44">
        <v>-1057.3152761296901</v>
      </c>
      <c r="D53" s="44">
        <v>-1100.755820560546</v>
      </c>
      <c r="E53" s="45">
        <v>-1111.8024664016652</v>
      </c>
      <c r="F53" s="44">
        <v>-969.4206085553699</v>
      </c>
      <c r="G53" s="44">
        <v>-969.2238157426933</v>
      </c>
      <c r="H53" s="44">
        <v>-984.9665767719366</v>
      </c>
    </row>
    <row r="54" spans="1:8" ht="15">
      <c r="A54" s="43" t="str">
        <f>HLOOKUP(INDICE!$F$2,Nombres!$C$3:$D$636,42,FALSE)</f>
        <v>  Depreciation</v>
      </c>
      <c r="B54" s="44">
        <v>-294.3121400343053</v>
      </c>
      <c r="C54" s="44">
        <v>-289.1130435889092</v>
      </c>
      <c r="D54" s="44">
        <v>-312.49645839773933</v>
      </c>
      <c r="E54" s="45">
        <v>-306.1195945645828</v>
      </c>
      <c r="F54" s="44">
        <v>-390.08291586906677</v>
      </c>
      <c r="G54" s="44">
        <v>-398.07749708460074</v>
      </c>
      <c r="H54" s="44">
        <v>-404.81558706633245</v>
      </c>
    </row>
    <row r="55" spans="1:8" ht="15">
      <c r="A55" s="41" t="str">
        <f>HLOOKUP(INDICE!$F$2,Nombres!$C$3:$D$636,43,FALSE)</f>
        <v>Operating income</v>
      </c>
      <c r="B55" s="41">
        <f>+B49+B50</f>
        <v>2833.8608746803875</v>
      </c>
      <c r="C55" s="41">
        <f aca="true" t="shared" si="7" ref="C55:H55">+C49+C50</f>
        <v>2791.655720874541</v>
      </c>
      <c r="D55" s="41">
        <f t="shared" si="7"/>
        <v>2999.786719859701</v>
      </c>
      <c r="E55" s="42">
        <f t="shared" si="7"/>
        <v>3164.4277554431965</v>
      </c>
      <c r="F55" s="52">
        <f t="shared" si="7"/>
        <v>3083.0373156755354</v>
      </c>
      <c r="G55" s="52">
        <f t="shared" si="7"/>
        <v>2933.315728780301</v>
      </c>
      <c r="H55" s="52">
        <f t="shared" si="7"/>
        <v>3287.5049523941616</v>
      </c>
    </row>
    <row r="56" spans="1:8" ht="15">
      <c r="A56" s="43" t="str">
        <f>HLOOKUP(INDICE!$F$2,Nombres!$C$3:$D$636,44,FALSE)</f>
        <v>Impaiment on financial assets not measured at fair value through profit or loss</v>
      </c>
      <c r="B56" s="44">
        <v>-775.8261402930216</v>
      </c>
      <c r="C56" s="44">
        <v>-756.2455810215586</v>
      </c>
      <c r="D56" s="44">
        <v>-1019.0268578138605</v>
      </c>
      <c r="E56" s="45">
        <v>-1329.815099790988</v>
      </c>
      <c r="F56" s="44">
        <v>-1014.5574213261319</v>
      </c>
      <c r="G56" s="44">
        <v>-751.0249555694554</v>
      </c>
      <c r="H56" s="44">
        <v>-1198.0836230944128</v>
      </c>
    </row>
    <row r="57" spans="1:8" ht="15">
      <c r="A57" s="43" t="str">
        <f>HLOOKUP(INDICE!$F$2,Nombres!$C$3:$D$636,45,FALSE)</f>
        <v>Provisions or reversal of provisions and other results</v>
      </c>
      <c r="B57" s="44">
        <v>-60.601574337733084</v>
      </c>
      <c r="C57" s="44">
        <v>-14.806179418720305</v>
      </c>
      <c r="D57" s="44">
        <v>-157.4980234569752</v>
      </c>
      <c r="E57" s="45">
        <v>-244.71199612759165</v>
      </c>
      <c r="F57" s="44">
        <v>-165.2977005143598</v>
      </c>
      <c r="G57" s="44">
        <v>-116.74131642699723</v>
      </c>
      <c r="H57" s="44">
        <v>-120.1149830286429</v>
      </c>
    </row>
    <row r="58" spans="1:8" ht="15">
      <c r="A58" s="41" t="str">
        <f>HLOOKUP(INDICE!$F$2,Nombres!$C$3:$D$636,46,FALSE)</f>
        <v>Profit/(loss) before tax</v>
      </c>
      <c r="B58" s="41">
        <f>+B55+B56+B57</f>
        <v>1997.4331600496328</v>
      </c>
      <c r="C58" s="41">
        <f aca="true" t="shared" si="8" ref="C58:H58">+C55+C56+C57</f>
        <v>2020.6039604342623</v>
      </c>
      <c r="D58" s="41">
        <f t="shared" si="8"/>
        <v>1823.2618385888652</v>
      </c>
      <c r="E58" s="42">
        <f t="shared" si="8"/>
        <v>1589.900659524617</v>
      </c>
      <c r="F58" s="52">
        <f t="shared" si="8"/>
        <v>1903.1821938350436</v>
      </c>
      <c r="G58" s="52">
        <f t="shared" si="8"/>
        <v>2065.549456783848</v>
      </c>
      <c r="H58" s="52">
        <f t="shared" si="8"/>
        <v>1969.306346271106</v>
      </c>
    </row>
    <row r="59" spans="1:8" ht="15">
      <c r="A59" s="43" t="str">
        <f>HLOOKUP(INDICE!$F$2,Nombres!$C$3:$D$636,47,FALSE)</f>
        <v>Income tax</v>
      </c>
      <c r="B59" s="44">
        <v>-578.1780251707404</v>
      </c>
      <c r="C59" s="44">
        <v>-585.4893982552464</v>
      </c>
      <c r="D59" s="44">
        <v>-453.61347021420346</v>
      </c>
      <c r="E59" s="45">
        <v>-426.059193561877</v>
      </c>
      <c r="F59" s="44">
        <v>-545.0226327751357</v>
      </c>
      <c r="G59" s="44">
        <v>-567.8597589286031</v>
      </c>
      <c r="H59" s="44">
        <v>-510.57760830626114</v>
      </c>
    </row>
    <row r="60" spans="1:8" ht="15">
      <c r="A60" s="41" t="str">
        <f>HLOOKUP(INDICE!$F$2,Nombres!$C$3:$D$636,99,FALSE)</f>
        <v>Result after continuing operation tax</v>
      </c>
      <c r="B60" s="41">
        <f>+B58+B59</f>
        <v>1419.2551348788925</v>
      </c>
      <c r="C60" s="41">
        <f aca="true" t="shared" si="9" ref="C60:H60">+C58+C59</f>
        <v>1435.1145621790158</v>
      </c>
      <c r="D60" s="41">
        <f t="shared" si="9"/>
        <v>1369.6483683746617</v>
      </c>
      <c r="E60" s="42">
        <f t="shared" si="9"/>
        <v>1163.84146596274</v>
      </c>
      <c r="F60" s="52">
        <f t="shared" si="9"/>
        <v>1358.159561059908</v>
      </c>
      <c r="G60" s="52">
        <f t="shared" si="9"/>
        <v>1497.689697855245</v>
      </c>
      <c r="H60" s="52">
        <f t="shared" si="9"/>
        <v>1458.7287379648446</v>
      </c>
    </row>
    <row r="61" spans="1:8" ht="15">
      <c r="A61" s="43" t="str">
        <f>HLOOKUP(INDICE!$F$2,Nombres!$C$3:$D$636,227,FALSE)</f>
        <v>Result from corporate operations</v>
      </c>
      <c r="B61" s="44">
        <v>0</v>
      </c>
      <c r="C61" s="44">
        <v>0</v>
      </c>
      <c r="D61" s="44">
        <v>0</v>
      </c>
      <c r="E61" s="45">
        <v>0</v>
      </c>
      <c r="F61" s="44">
        <v>0</v>
      </c>
      <c r="G61" s="44">
        <v>0</v>
      </c>
      <c r="H61" s="44">
        <v>0</v>
      </c>
    </row>
    <row r="62" spans="1:8" ht="15">
      <c r="A62" s="41" t="str">
        <f>HLOOKUP(INDICE!$F$2,Nombres!$C$3:$D$636,48,FALSE)</f>
        <v>Profit/(loss) for the year</v>
      </c>
      <c r="B62" s="41">
        <f>+B60+B61</f>
        <v>1419.2551348788925</v>
      </c>
      <c r="C62" s="41">
        <f aca="true" t="shared" si="10" ref="C62:H62">+C60+C61</f>
        <v>1435.1145621790158</v>
      </c>
      <c r="D62" s="41">
        <f t="shared" si="10"/>
        <v>1369.6483683746617</v>
      </c>
      <c r="E62" s="42">
        <f t="shared" si="10"/>
        <v>1163.84146596274</v>
      </c>
      <c r="F62" s="52">
        <f t="shared" si="10"/>
        <v>1358.159561059908</v>
      </c>
      <c r="G62" s="52">
        <f t="shared" si="10"/>
        <v>1497.689697855245</v>
      </c>
      <c r="H62" s="52">
        <f t="shared" si="10"/>
        <v>1458.7287379648446</v>
      </c>
    </row>
    <row r="63" spans="1:8" ht="15">
      <c r="A63" s="43" t="str">
        <f>HLOOKUP(INDICE!$F$2,Nombres!$C$3:$D$636,49,FALSE)</f>
        <v>Non-controlling interests</v>
      </c>
      <c r="B63" s="44">
        <v>-185.70804581840076</v>
      </c>
      <c r="C63" s="44">
        <v>-214.72985297958064</v>
      </c>
      <c r="D63" s="44">
        <v>-175.9397818930325</v>
      </c>
      <c r="E63" s="45">
        <v>-147.51024423234944</v>
      </c>
      <c r="F63" s="44">
        <v>-217.51308949913974</v>
      </c>
      <c r="G63" s="44">
        <v>-237.80931427618611</v>
      </c>
      <c r="H63" s="44">
        <v>-192.43259624467416</v>
      </c>
    </row>
    <row r="64" spans="1:8" ht="15">
      <c r="A64" s="47" t="str">
        <f>HLOOKUP(INDICE!$F$2,Nombres!$C$3:$D$636,50,FALSE)</f>
        <v>Net attributable profit</v>
      </c>
      <c r="B64" s="47">
        <f>+B62+B63</f>
        <v>1233.5470890604918</v>
      </c>
      <c r="C64" s="47">
        <f aca="true" t="shared" si="11" ref="C64:H64">+C62+C63</f>
        <v>1220.3847091994353</v>
      </c>
      <c r="D64" s="47">
        <f t="shared" si="11"/>
        <v>1193.7085864816293</v>
      </c>
      <c r="E64" s="47">
        <f t="shared" si="11"/>
        <v>1016.3312217303904</v>
      </c>
      <c r="F64" s="53">
        <f t="shared" si="11"/>
        <v>1140.646471560768</v>
      </c>
      <c r="G64" s="53">
        <f t="shared" si="11"/>
        <v>1259.8803835790588</v>
      </c>
      <c r="H64" s="53">
        <f t="shared" si="11"/>
        <v>1266.2961417201705</v>
      </c>
    </row>
    <row r="65" spans="2:8" ht="15">
      <c r="B65" s="48">
        <v>0</v>
      </c>
      <c r="C65" s="48">
        <v>0</v>
      </c>
      <c r="D65" s="48">
        <v>0</v>
      </c>
      <c r="E65" s="48">
        <v>0</v>
      </c>
      <c r="F65" s="48">
        <v>0</v>
      </c>
      <c r="G65" s="48">
        <v>0</v>
      </c>
      <c r="H65" s="48">
        <v>0</v>
      </c>
    </row>
    <row r="66" spans="1:9" ht="15" customHeight="1">
      <c r="A66" s="287" t="str">
        <f>HLOOKUP(INDICE!$F$2,Nombres!$C$3:$D$636,224,FALSE)</f>
        <v>(*) Not including BBVA Chile`s profit for the 2 first quarters of 2018 and net capital gains in 3Q 2018 of its sale .</v>
      </c>
      <c r="B66" s="287"/>
      <c r="C66" s="287"/>
      <c r="D66" s="287"/>
      <c r="E66" s="287"/>
      <c r="F66" s="287"/>
      <c r="G66" s="287"/>
      <c r="H66" s="287"/>
      <c r="I66" s="49"/>
    </row>
    <row r="67" spans="1:9" ht="72.75" customHeight="1">
      <c r="A67"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67" s="287"/>
      <c r="C67" s="287"/>
      <c r="D67" s="287"/>
      <c r="E67" s="287"/>
      <c r="F67" s="287"/>
      <c r="G67" s="287"/>
      <c r="H67" s="287"/>
      <c r="I67" s="286"/>
    </row>
    <row r="1000" ht="15">
      <c r="A1000" t="s">
        <v>406</v>
      </c>
    </row>
  </sheetData>
  <sheetProtection/>
  <mergeCells count="7">
    <mergeCell ref="A31:H31"/>
    <mergeCell ref="A32:H32"/>
    <mergeCell ref="A66:H66"/>
    <mergeCell ref="A67:H67"/>
    <mergeCell ref="B6:E6"/>
    <mergeCell ref="B41:E41"/>
    <mergeCell ref="F6:H6"/>
  </mergeCells>
  <conditionalFormatting sqref="B30:H30">
    <cfRule type="cellIs" priority="14" dxfId="92" operator="notBetween">
      <formula>0.5</formula>
      <formula>-0.5</formula>
    </cfRule>
  </conditionalFormatting>
  <conditionalFormatting sqref="C30">
    <cfRule type="cellIs" priority="13" dxfId="92" operator="notBetween">
      <formula>0.5</formula>
      <formula>-0.5</formula>
    </cfRule>
  </conditionalFormatting>
  <conditionalFormatting sqref="D30">
    <cfRule type="cellIs" priority="12" dxfId="92" operator="notBetween">
      <formula>0.5</formula>
      <formula>-0.5</formula>
    </cfRule>
  </conditionalFormatting>
  <conditionalFormatting sqref="E30">
    <cfRule type="cellIs" priority="11" dxfId="92" operator="notBetween">
      <formula>0.5</formula>
      <formula>-0.5</formula>
    </cfRule>
  </conditionalFormatting>
  <conditionalFormatting sqref="F30">
    <cfRule type="cellIs" priority="10" dxfId="92" operator="notBetween">
      <formula>0.5</formula>
      <formula>-0.5</formula>
    </cfRule>
  </conditionalFormatting>
  <conditionalFormatting sqref="G30">
    <cfRule type="cellIs" priority="9" dxfId="92" operator="notBetween">
      <formula>0.5</formula>
      <formula>-0.5</formula>
    </cfRule>
  </conditionalFormatting>
  <conditionalFormatting sqref="H30">
    <cfRule type="cellIs" priority="8" dxfId="92" operator="notBetween">
      <formula>0.5</formula>
      <formula>-0.5</formula>
    </cfRule>
  </conditionalFormatting>
  <conditionalFormatting sqref="B65:H65">
    <cfRule type="cellIs" priority="7" dxfId="92" operator="notBetween">
      <formula>0.5</formula>
      <formula>-0.5</formula>
    </cfRule>
  </conditionalFormatting>
  <conditionalFormatting sqref="C65">
    <cfRule type="cellIs" priority="6" dxfId="92" operator="notBetween">
      <formula>0.5</formula>
      <formula>-0.5</formula>
    </cfRule>
  </conditionalFormatting>
  <conditionalFormatting sqref="D65">
    <cfRule type="cellIs" priority="5" dxfId="92" operator="notBetween">
      <formula>0.5</formula>
      <formula>-0.5</formula>
    </cfRule>
  </conditionalFormatting>
  <conditionalFormatting sqref="E65">
    <cfRule type="cellIs" priority="4" dxfId="92" operator="notBetween">
      <formula>0.5</formula>
      <formula>-0.5</formula>
    </cfRule>
  </conditionalFormatting>
  <conditionalFormatting sqref="F65">
    <cfRule type="cellIs" priority="3" dxfId="92" operator="notBetween">
      <formula>0.5</formula>
      <formula>-0.5</formula>
    </cfRule>
  </conditionalFormatting>
  <conditionalFormatting sqref="G65">
    <cfRule type="cellIs" priority="2" dxfId="92" operator="notBetween">
      <formula>0.5</formula>
      <formula>-0.5</formula>
    </cfRule>
  </conditionalFormatting>
  <conditionalFormatting sqref="H65">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26" sqref="A26"/>
    </sheetView>
  </sheetViews>
  <sheetFormatPr defaultColWidth="11.421875" defaultRowHeight="15"/>
  <cols>
    <col min="1" max="1" width="93.421875" style="31" customWidth="1"/>
    <col min="2" max="2" width="10.421875" style="31" customWidth="1"/>
    <col min="3" max="8" width="11.421875" style="31" customWidth="1"/>
  </cols>
  <sheetData>
    <row r="1" spans="1:9" ht="18">
      <c r="A1" s="29" t="str">
        <f>HLOOKUP(INDICE!$F$2,Nombres!$C$3:$D$636,104,FALSE)</f>
        <v>BBVA Group. Consolidated balance sheet</v>
      </c>
      <c r="B1" s="30"/>
      <c r="C1" s="30"/>
      <c r="D1" s="30"/>
      <c r="E1" s="30"/>
      <c r="F1" s="30"/>
      <c r="G1" s="30"/>
      <c r="H1" s="30"/>
      <c r="I1" s="31"/>
    </row>
    <row r="2" spans="1:9" ht="19.5">
      <c r="A2" s="32"/>
      <c r="B2" s="30"/>
      <c r="C2" s="30"/>
      <c r="D2" s="30"/>
      <c r="E2" s="30"/>
      <c r="F2" s="30"/>
      <c r="G2" s="30"/>
      <c r="H2" s="30"/>
      <c r="I2" s="31"/>
    </row>
    <row r="3" spans="1:9" ht="18">
      <c r="A3" s="33" t="str">
        <f>HLOOKUP(INDICE!$F$2,Nombres!$C$3:$D$636,51,FALSE)</f>
        <v>Balance sheets</v>
      </c>
      <c r="B3" s="34"/>
      <c r="C3" s="34"/>
      <c r="D3" s="34"/>
      <c r="E3" s="34"/>
      <c r="F3" s="34"/>
      <c r="G3" s="34"/>
      <c r="H3" s="34"/>
      <c r="I3" s="31"/>
    </row>
    <row r="4" spans="1:9" ht="15">
      <c r="A4" s="35" t="str">
        <f>HLOOKUP(INDICE!$F$2,Nombres!$C$3:$D$636,32,FALSE)</f>
        <v>(Million euros)</v>
      </c>
      <c r="B4" s="30"/>
      <c r="C4" s="54"/>
      <c r="D4" s="54"/>
      <c r="E4" s="54"/>
      <c r="F4" s="30"/>
      <c r="G4" s="60"/>
      <c r="H4" s="60"/>
      <c r="I4" s="31"/>
    </row>
    <row r="5" spans="1:9" ht="15.75">
      <c r="A5" s="30"/>
      <c r="B5" s="55">
        <v>43190</v>
      </c>
      <c r="C5" s="55">
        <v>43281</v>
      </c>
      <c r="D5" s="55">
        <v>43373</v>
      </c>
      <c r="E5" s="55">
        <v>43465</v>
      </c>
      <c r="F5" s="55">
        <v>43555</v>
      </c>
      <c r="G5" s="55">
        <v>43646</v>
      </c>
      <c r="H5" s="55">
        <v>43738</v>
      </c>
      <c r="I5" s="31"/>
    </row>
    <row r="6" spans="1:9" ht="15">
      <c r="A6" s="43" t="str">
        <f>HLOOKUP(INDICE!$F$2,Nombres!$C$3:$D$636,52,FALSE)</f>
        <v>Cash, cash balances at central banks and other demand deposits</v>
      </c>
      <c r="B6" s="44">
        <v>43166.921</v>
      </c>
      <c r="C6" s="44">
        <v>37278.749</v>
      </c>
      <c r="D6" s="44">
        <v>44800.406</v>
      </c>
      <c r="E6" s="44">
        <v>58196.245</v>
      </c>
      <c r="F6" s="44">
        <v>50059.414</v>
      </c>
      <c r="G6" s="44">
        <v>44565.329</v>
      </c>
      <c r="H6" s="44">
        <v>40931.844</v>
      </c>
      <c r="I6" s="31"/>
    </row>
    <row r="7" spans="1:9" ht="15">
      <c r="A7" s="43" t="str">
        <f>HLOOKUP(INDICE!$F$2,Nombres!$C$3:$D$636,131,FALSE)</f>
        <v>Financial assets held for trading</v>
      </c>
      <c r="B7" s="44">
        <v>94745.036</v>
      </c>
      <c r="C7" s="44">
        <v>91018.102</v>
      </c>
      <c r="D7" s="44">
        <v>90405.488</v>
      </c>
      <c r="E7" s="44">
        <v>90116.779</v>
      </c>
      <c r="F7" s="44">
        <v>92365.973</v>
      </c>
      <c r="G7" s="44">
        <v>105368.653</v>
      </c>
      <c r="H7" s="44">
        <v>110874.073</v>
      </c>
      <c r="I7" s="31"/>
    </row>
    <row r="8" spans="1:9" ht="15">
      <c r="A8" s="43" t="str">
        <f>HLOOKUP(INDICE!$F$2,Nombres!$C$3:$D$636,132,FALSE)</f>
        <v>Non-trading financial assets mandatorily at fair value through profit or loss</v>
      </c>
      <c r="B8" s="44">
        <v>4359.714</v>
      </c>
      <c r="C8" s="44">
        <v>4376.854</v>
      </c>
      <c r="D8" s="44">
        <v>4691.838</v>
      </c>
      <c r="E8" s="44">
        <v>5135.342</v>
      </c>
      <c r="F8" s="44">
        <v>5534.6</v>
      </c>
      <c r="G8" s="44">
        <v>4918.365</v>
      </c>
      <c r="H8" s="44">
        <v>5209.409</v>
      </c>
      <c r="I8" s="31"/>
    </row>
    <row r="9" spans="1:9" ht="15">
      <c r="A9" s="43" t="str">
        <f>HLOOKUP(INDICE!$F$2,Nombres!$C$3:$D$636,133,FALSE)</f>
        <v>Financial assets designated at fair value through profit or loss</v>
      </c>
      <c r="B9" s="44">
        <v>1330.234</v>
      </c>
      <c r="C9" s="44">
        <v>1486.789</v>
      </c>
      <c r="D9" s="44">
        <v>1301.567</v>
      </c>
      <c r="E9" s="44">
        <v>1313.436</v>
      </c>
      <c r="F9" s="44">
        <v>1310.735</v>
      </c>
      <c r="G9" s="44">
        <v>1403.443</v>
      </c>
      <c r="H9" s="44">
        <v>1399.754</v>
      </c>
      <c r="I9" s="31"/>
    </row>
    <row r="10" spans="1:9" ht="15">
      <c r="A10" s="43" t="str">
        <f>HLOOKUP(INDICE!$F$2,Nombres!$C$3:$D$636,134,FALSE)</f>
        <v>Financial assets at fair value through accumulated other comprehensive income</v>
      </c>
      <c r="B10" s="44">
        <v>59211.983</v>
      </c>
      <c r="C10" s="44">
        <v>63212</v>
      </c>
      <c r="D10" s="44">
        <v>61602.325</v>
      </c>
      <c r="E10" s="44">
        <v>56337.461</v>
      </c>
      <c r="F10" s="44">
        <v>60204.406</v>
      </c>
      <c r="G10" s="44">
        <v>63363.562</v>
      </c>
      <c r="H10" s="44">
        <v>63275.056</v>
      </c>
      <c r="I10" s="31"/>
    </row>
    <row r="11" spans="1:9" ht="15">
      <c r="A11" s="43" t="str">
        <f>HLOOKUP(INDICE!$F$2,Nombres!$C$3:$D$636,135,FALSE)</f>
        <v>Financial assets at amortized cost</v>
      </c>
      <c r="B11" s="44">
        <v>417646.24</v>
      </c>
      <c r="C11" s="44">
        <v>426349.11000000004</v>
      </c>
      <c r="D11" s="44">
        <v>417893.41299999994</v>
      </c>
      <c r="E11" s="44">
        <v>419659.687</v>
      </c>
      <c r="F11" s="44">
        <v>433008.152</v>
      </c>
      <c r="G11" s="44">
        <v>430929.827</v>
      </c>
      <c r="H11" s="44">
        <v>437792.202</v>
      </c>
      <c r="I11" s="31"/>
    </row>
    <row r="12" spans="1:9" ht="15">
      <c r="A12" s="57" t="str">
        <f>HLOOKUP(INDICE!$F$2,Nombres!$C$3:$D$636,136,FALSE)</f>
        <v>. Loans and advances to central banks and credit institutions </v>
      </c>
      <c r="B12" s="58">
        <v>17751.155</v>
      </c>
      <c r="C12" s="58">
        <v>17091.901</v>
      </c>
      <c r="D12" s="58">
        <v>15354.774</v>
      </c>
      <c r="E12" s="58">
        <v>13103.275000000001</v>
      </c>
      <c r="F12" s="58">
        <v>15787.366</v>
      </c>
      <c r="G12" s="58">
        <v>16421.04</v>
      </c>
      <c r="H12" s="58">
        <v>19654.828</v>
      </c>
      <c r="I12" s="31"/>
    </row>
    <row r="13" spans="1:9" ht="15">
      <c r="A13" s="57" t="str">
        <f>HLOOKUP(INDICE!$F$2,Nombres!$C$3:$D$636,137,FALSE)</f>
        <v>. Loans and advances to customers</v>
      </c>
      <c r="B13" s="58">
        <v>367986.017</v>
      </c>
      <c r="C13" s="58">
        <v>377174.965</v>
      </c>
      <c r="D13" s="58">
        <v>370496.321</v>
      </c>
      <c r="E13" s="58">
        <v>374026.535</v>
      </c>
      <c r="F13" s="58">
        <v>380799.483</v>
      </c>
      <c r="G13" s="58">
        <v>377155.065</v>
      </c>
      <c r="H13" s="58">
        <v>378774.729</v>
      </c>
      <c r="I13" s="31"/>
    </row>
    <row r="14" spans="1:9" ht="15">
      <c r="A14" s="57" t="str">
        <f>HLOOKUP(INDICE!$F$2,Nombres!$C$3:$D$636,138,FALSE)</f>
        <v>. Debt securities</v>
      </c>
      <c r="B14" s="58">
        <v>31909.068</v>
      </c>
      <c r="C14" s="58">
        <v>32082.244</v>
      </c>
      <c r="D14" s="58">
        <v>32042.318</v>
      </c>
      <c r="E14" s="58">
        <v>32529.877</v>
      </c>
      <c r="F14" s="58">
        <v>36421.303</v>
      </c>
      <c r="G14" s="58">
        <v>37353.722</v>
      </c>
      <c r="H14" s="58">
        <v>39362.645</v>
      </c>
      <c r="I14" s="31"/>
    </row>
    <row r="15" spans="1:9" ht="15" customHeight="1" hidden="1">
      <c r="A15" s="43" t="str">
        <f>HLOOKUP(INDICE!$F$2,Nombres!$C$3:$D$636,139,FALSE)</f>
        <v>Held-to-maturity investments</v>
      </c>
      <c r="B15" s="59"/>
      <c r="C15" s="59"/>
      <c r="D15" s="59"/>
      <c r="E15" s="59"/>
      <c r="F15" s="59"/>
      <c r="G15" s="59"/>
      <c r="H15" s="59"/>
      <c r="I15" s="31"/>
    </row>
    <row r="16" spans="1:9" ht="15">
      <c r="A16" s="43" t="str">
        <f>HLOOKUP(INDICE!$F$2,Nombres!$C$3:$D$636,140,FALSE)</f>
        <v>Investments in subsidiaries, joint ventures and associates</v>
      </c>
      <c r="B16" s="44">
        <v>1395.316</v>
      </c>
      <c r="C16" s="44">
        <v>1470.244</v>
      </c>
      <c r="D16" s="44">
        <v>972.026</v>
      </c>
      <c r="E16" s="44">
        <v>1577.843</v>
      </c>
      <c r="F16" s="44">
        <v>1587.294</v>
      </c>
      <c r="G16" s="44">
        <v>1637.59</v>
      </c>
      <c r="H16" s="44">
        <v>1550.09</v>
      </c>
      <c r="I16" s="31"/>
    </row>
    <row r="17" spans="1:9" ht="15">
      <c r="A17" s="43" t="str">
        <f>HLOOKUP(INDICE!$F$2,Nombres!$C$3:$D$636,56,FALSE)</f>
        <v>Tangible assets</v>
      </c>
      <c r="B17" s="44">
        <v>7237.567</v>
      </c>
      <c r="C17" s="44">
        <v>6987.118</v>
      </c>
      <c r="D17" s="44">
        <v>6688.351</v>
      </c>
      <c r="E17" s="44">
        <v>7228.939</v>
      </c>
      <c r="F17" s="44">
        <v>10408.086</v>
      </c>
      <c r="G17" s="44">
        <v>10302.12</v>
      </c>
      <c r="H17" s="44">
        <v>10208.176</v>
      </c>
      <c r="I17" s="31"/>
    </row>
    <row r="18" spans="1:9" ht="15">
      <c r="A18" s="43" t="str">
        <f>HLOOKUP(INDICE!$F$2,Nombres!$C$3:$D$636,141,FALSE)</f>
        <v>Intangible assets</v>
      </c>
      <c r="B18" s="44">
        <v>8202.681</v>
      </c>
      <c r="C18" s="44">
        <v>8376.545</v>
      </c>
      <c r="D18" s="44">
        <v>8212.756</v>
      </c>
      <c r="E18" s="44">
        <v>8313.605</v>
      </c>
      <c r="F18" s="44">
        <v>8383.167</v>
      </c>
      <c r="G18" s="44">
        <v>8261.538</v>
      </c>
      <c r="H18" s="44">
        <v>8507.546</v>
      </c>
      <c r="I18" s="31"/>
    </row>
    <row r="19" spans="1:9" ht="15">
      <c r="A19" s="43" t="str">
        <f>HLOOKUP(INDICE!$F$2,Nombres!$C$3:$D$636,57,FALSE)</f>
        <v>Other assets</v>
      </c>
      <c r="B19" s="60">
        <v>48392.447</v>
      </c>
      <c r="C19" s="60">
        <v>49294.894</v>
      </c>
      <c r="D19" s="60">
        <v>32416.677000000007</v>
      </c>
      <c r="E19" s="60">
        <v>28809.462000000003</v>
      </c>
      <c r="F19" s="60">
        <v>28338.245</v>
      </c>
      <c r="G19" s="60">
        <v>26875.551</v>
      </c>
      <c r="H19" s="60">
        <v>29268.607</v>
      </c>
      <c r="I19" s="31"/>
    </row>
    <row r="20" spans="1:9" ht="15">
      <c r="A20" s="47" t="str">
        <f>HLOOKUP(INDICE!$F$2,Nombres!$C$3:$D$636,58,FALSE)</f>
        <v>Total assets / Liabilities and equity</v>
      </c>
      <c r="B20" s="47">
        <f aca="true" t="shared" si="0" ref="B20:H20">+SUM(B6:B11,B16:B19)</f>
        <v>685688.1390000001</v>
      </c>
      <c r="C20" s="47">
        <f t="shared" si="0"/>
        <v>689850.405</v>
      </c>
      <c r="D20" s="47">
        <f t="shared" si="0"/>
        <v>668984.8470000001</v>
      </c>
      <c r="E20" s="47">
        <f t="shared" si="0"/>
        <v>676688.799</v>
      </c>
      <c r="F20" s="47">
        <f t="shared" si="0"/>
        <v>691200.072</v>
      </c>
      <c r="G20" s="47">
        <f t="shared" si="0"/>
        <v>697625.9779999999</v>
      </c>
      <c r="H20" s="47">
        <f t="shared" si="0"/>
        <v>709016.7569999999</v>
      </c>
      <c r="I20" s="31"/>
    </row>
    <row r="21" spans="1:9" ht="15">
      <c r="A21" s="43" t="str">
        <f>HLOOKUP(INDICE!$F$2,Nombres!$C$3:$D$636,59,FALSE)</f>
        <v>Financial liabilities held for trading and designated at fair value through profit or loss</v>
      </c>
      <c r="B21" s="60">
        <v>86766.928</v>
      </c>
      <c r="C21" s="60">
        <v>83666.751</v>
      </c>
      <c r="D21" s="60">
        <v>81810.171</v>
      </c>
      <c r="E21" s="60">
        <v>80774.053</v>
      </c>
      <c r="F21" s="60">
        <v>80818.396</v>
      </c>
      <c r="G21" s="60">
        <v>91357.992</v>
      </c>
      <c r="H21" s="60">
        <v>92406.662</v>
      </c>
      <c r="I21" s="31"/>
    </row>
    <row r="22" spans="1:9" ht="15">
      <c r="A22" s="43" t="str">
        <f>HLOOKUP(INDICE!$F$2,Nombres!$C$3:$D$636,142,FALSE)</f>
        <v>Other financial liabilities designated at fair value through profit or loss</v>
      </c>
      <c r="B22" s="60">
        <v>6075.296</v>
      </c>
      <c r="C22" s="60">
        <v>6221.035</v>
      </c>
      <c r="D22" s="60">
        <v>6781.692</v>
      </c>
      <c r="E22" s="60">
        <v>6993.275</v>
      </c>
      <c r="F22" s="60">
        <v>7846.073</v>
      </c>
      <c r="G22" s="60">
        <v>8921.888</v>
      </c>
      <c r="H22" s="60">
        <v>9582.953</v>
      </c>
      <c r="I22" s="61"/>
    </row>
    <row r="23" spans="1:9" ht="15">
      <c r="A23" s="43" t="str">
        <f>HLOOKUP(INDICE!$F$2,Nombres!$C$3:$D$636,143,FALSE)</f>
        <v>Financial liabilities at amortized cost</v>
      </c>
      <c r="B23" s="60">
        <v>497297.913</v>
      </c>
      <c r="C23" s="60">
        <v>503072.666</v>
      </c>
      <c r="D23" s="60">
        <v>501439</v>
      </c>
      <c r="E23" s="60">
        <v>509184.762</v>
      </c>
      <c r="F23" s="60">
        <v>520463.703</v>
      </c>
      <c r="G23" s="60">
        <v>513937.299</v>
      </c>
      <c r="H23" s="60">
        <v>518214.871</v>
      </c>
      <c r="I23" s="61"/>
    </row>
    <row r="24" spans="1:9" ht="15">
      <c r="A24" s="57" t="str">
        <f>HLOOKUP(INDICE!$F$2,Nombres!$C$3:$D$636,60,FALSE)</f>
        <v>Deposits from central banks and credit institutions</v>
      </c>
      <c r="B24" s="62">
        <v>63031.063</v>
      </c>
      <c r="C24" s="62">
        <v>62041.066</v>
      </c>
      <c r="D24" s="62">
        <v>62339.413</v>
      </c>
      <c r="E24" s="62">
        <v>59258.978</v>
      </c>
      <c r="F24" s="62">
        <v>64427.4</v>
      </c>
      <c r="G24" s="62">
        <v>61457.22</v>
      </c>
      <c r="H24" s="62">
        <v>60554.248999999996</v>
      </c>
      <c r="I24" s="31"/>
    </row>
    <row r="25" spans="1:9" ht="15">
      <c r="A25" s="57" t="str">
        <f>HLOOKUP(INDICE!$F$2,Nombres!$C$3:$D$636,61,FALSE)</f>
        <v>Deposits from customers</v>
      </c>
      <c r="B25" s="62">
        <v>360213.016</v>
      </c>
      <c r="C25" s="62">
        <v>367312.182</v>
      </c>
      <c r="D25" s="62">
        <v>365687.371</v>
      </c>
      <c r="E25" s="62">
        <v>375970.15</v>
      </c>
      <c r="F25" s="62">
        <v>378527.14</v>
      </c>
      <c r="G25" s="62">
        <v>375103.744</v>
      </c>
      <c r="H25" s="62">
        <v>379333.197</v>
      </c>
      <c r="I25" s="31"/>
    </row>
    <row r="26" spans="1:9" ht="15">
      <c r="A26" s="57" t="str">
        <f>HLOOKUP(INDICE!$F$2,Nombres!$C$3:$D$636,62,FALSE)</f>
        <v>Debt certificates</v>
      </c>
      <c r="B26" s="62">
        <v>60866.197</v>
      </c>
      <c r="C26" s="62">
        <v>62349.39</v>
      </c>
      <c r="D26" s="62">
        <v>62021.882</v>
      </c>
      <c r="E26" s="62">
        <v>61111.818</v>
      </c>
      <c r="F26" s="62">
        <v>62364.987</v>
      </c>
      <c r="G26" s="62">
        <v>62684.511</v>
      </c>
      <c r="H26" s="62">
        <v>63324.052</v>
      </c>
      <c r="I26" s="31"/>
    </row>
    <row r="27" spans="1:9" ht="15">
      <c r="A27" s="57" t="str">
        <f>HLOOKUP(INDICE!$F$2,Nombres!$C$3:$D$636,144,FALSE)</f>
        <v>. Other financial liabilities</v>
      </c>
      <c r="B27" s="62">
        <v>13187.637</v>
      </c>
      <c r="C27" s="62">
        <v>11370.028</v>
      </c>
      <c r="D27" s="62">
        <v>11390.334</v>
      </c>
      <c r="E27" s="62">
        <v>12843.816</v>
      </c>
      <c r="F27" s="62">
        <v>15144.176</v>
      </c>
      <c r="G27" s="62">
        <v>14691.824</v>
      </c>
      <c r="H27" s="62">
        <v>15003.373</v>
      </c>
      <c r="I27" s="31"/>
    </row>
    <row r="28" spans="1:9" ht="15">
      <c r="A28" s="43" t="str">
        <f>HLOOKUP(INDICE!$F$2,Nombres!$C$3:$D$636,145,FALSE)</f>
        <v>Liabilities under insurance and reinsurance contracts</v>
      </c>
      <c r="B28" s="60">
        <v>9624.206</v>
      </c>
      <c r="C28" s="60">
        <v>9500.309</v>
      </c>
      <c r="D28" s="60">
        <v>9994.464</v>
      </c>
      <c r="E28" s="60">
        <v>9833.737</v>
      </c>
      <c r="F28" s="60">
        <v>10577.421</v>
      </c>
      <c r="G28" s="60">
        <v>10634.106</v>
      </c>
      <c r="H28" s="60">
        <v>10834.307</v>
      </c>
      <c r="I28" s="31"/>
    </row>
    <row r="29" spans="1:9" ht="15">
      <c r="A29" s="43" t="str">
        <f>HLOOKUP(INDICE!$F$2,Nombres!$C$3:$D$636,63,FALSE)</f>
        <v>Other liabilities</v>
      </c>
      <c r="B29" s="60">
        <v>33881.013</v>
      </c>
      <c r="C29" s="60">
        <v>35111.812</v>
      </c>
      <c r="D29" s="60">
        <v>17862.373</v>
      </c>
      <c r="E29" s="60">
        <v>17028.628999999997</v>
      </c>
      <c r="F29" s="60">
        <v>17947.56</v>
      </c>
      <c r="G29" s="60">
        <v>18084.932</v>
      </c>
      <c r="H29" s="60">
        <v>20949.182</v>
      </c>
      <c r="I29" s="31"/>
    </row>
    <row r="30" spans="1:9" ht="15">
      <c r="A30" s="41" t="str">
        <f>HLOOKUP(INDICE!$F$2,Nombres!$C$3:$D$636,146,FALSE)</f>
        <v>Total liabilities</v>
      </c>
      <c r="B30" s="63">
        <f aca="true" t="shared" si="1" ref="B30:H30">+SUM(B21:B23,B28:B29)</f>
        <v>633645.356</v>
      </c>
      <c r="C30" s="63">
        <f t="shared" si="1"/>
        <v>637572.5730000001</v>
      </c>
      <c r="D30" s="63">
        <f t="shared" si="1"/>
        <v>617887.7000000001</v>
      </c>
      <c r="E30" s="63">
        <f t="shared" si="1"/>
        <v>623814.4559999999</v>
      </c>
      <c r="F30" s="63">
        <f t="shared" si="1"/>
        <v>637653.153</v>
      </c>
      <c r="G30" s="63">
        <f t="shared" si="1"/>
        <v>642936.2170000001</v>
      </c>
      <c r="H30" s="63">
        <f t="shared" si="1"/>
        <v>651987.9750000001</v>
      </c>
      <c r="I30" s="31"/>
    </row>
    <row r="31" spans="1:9" ht="15">
      <c r="A31" s="41"/>
      <c r="B31" s="63"/>
      <c r="C31" s="63"/>
      <c r="D31" s="63"/>
      <c r="E31" s="63"/>
      <c r="F31" s="63"/>
      <c r="G31" s="63"/>
      <c r="H31" s="63"/>
      <c r="I31" s="31"/>
    </row>
    <row r="32" spans="1:9" ht="15">
      <c r="A32" s="43" t="str">
        <f>HLOOKUP(INDICE!$F$2,Nombres!$C$3:$D$636,147,FALSE)</f>
        <v>Non-controlling interests</v>
      </c>
      <c r="B32" s="60">
        <v>6664.976</v>
      </c>
      <c r="C32" s="60">
        <v>6399.69</v>
      </c>
      <c r="D32" s="60">
        <v>5100.428</v>
      </c>
      <c r="E32" s="60">
        <v>5763.955</v>
      </c>
      <c r="F32" s="60">
        <v>5717.824</v>
      </c>
      <c r="G32" s="60">
        <v>5838.968</v>
      </c>
      <c r="H32" s="60">
        <v>6299.18</v>
      </c>
      <c r="I32" s="31"/>
    </row>
    <row r="33" spans="1:9" ht="15">
      <c r="A33" s="43" t="str">
        <f>HLOOKUP(INDICE!$F$2,Nombres!$C$3:$D$636,148,FALSE)</f>
        <v>Accumulated other comprehensive income</v>
      </c>
      <c r="B33" s="60">
        <v>-6195.297</v>
      </c>
      <c r="C33" s="60">
        <v>-6612.096</v>
      </c>
      <c r="D33" s="60">
        <v>-7358.425</v>
      </c>
      <c r="E33" s="60">
        <v>-7215.466</v>
      </c>
      <c r="F33" s="60">
        <v>-6655.646</v>
      </c>
      <c r="G33" s="60">
        <v>-6922.778</v>
      </c>
      <c r="H33" s="60">
        <v>-6113.97</v>
      </c>
      <c r="I33" s="31"/>
    </row>
    <row r="34" spans="1:9" ht="15">
      <c r="A34" s="43" t="str">
        <f>HLOOKUP(INDICE!$F$2,Nombres!$C$3:$D$636,149,FALSE)</f>
        <v>Shareholders' funds</v>
      </c>
      <c r="B34" s="60">
        <v>51573.10399999999</v>
      </c>
      <c r="C34" s="60">
        <v>52490.237</v>
      </c>
      <c r="D34" s="60">
        <v>53355.14399999999</v>
      </c>
      <c r="E34" s="60">
        <v>54325.85399999999</v>
      </c>
      <c r="F34" s="60">
        <v>54484.740999999995</v>
      </c>
      <c r="G34" s="60">
        <v>55773.570999999996</v>
      </c>
      <c r="H34" s="60">
        <v>56843.57199999999</v>
      </c>
      <c r="I34" s="31"/>
    </row>
    <row r="35" spans="1:9" ht="15">
      <c r="A35" s="41" t="str">
        <f>HLOOKUP(INDICE!$F$2,Nombres!$C$3:$D$636,150,FALSE)</f>
        <v>Total equity</v>
      </c>
      <c r="B35" s="63">
        <f aca="true" t="shared" si="2" ref="B35:H35">+B32+B33+B34</f>
        <v>52042.782999999996</v>
      </c>
      <c r="C35" s="63">
        <f t="shared" si="2"/>
        <v>52277.831</v>
      </c>
      <c r="D35" s="63">
        <f t="shared" si="2"/>
        <v>51097.14699999999</v>
      </c>
      <c r="E35" s="63">
        <f t="shared" si="2"/>
        <v>52874.34299999999</v>
      </c>
      <c r="F35" s="63">
        <f t="shared" si="2"/>
        <v>53546.918999999994</v>
      </c>
      <c r="G35" s="63">
        <f t="shared" si="2"/>
        <v>54689.761</v>
      </c>
      <c r="H35" s="63">
        <f t="shared" si="2"/>
        <v>57028.78199999999</v>
      </c>
      <c r="I35" s="31"/>
    </row>
    <row r="36" spans="1:9" ht="15">
      <c r="A36" s="43"/>
      <c r="B36" s="60"/>
      <c r="C36" s="60"/>
      <c r="D36" s="60"/>
      <c r="E36" s="60"/>
      <c r="F36" s="60"/>
      <c r="G36" s="60"/>
      <c r="H36" s="60"/>
      <c r="I36" s="31"/>
    </row>
    <row r="37" spans="1:9" ht="15">
      <c r="A37" s="47" t="str">
        <f>HLOOKUP(INDICE!$F$2,Nombres!$C$3:$D$636,151,FALSE)</f>
        <v>Total equity and liabilities</v>
      </c>
      <c r="B37" s="47">
        <v>685688.139</v>
      </c>
      <c r="C37" s="47">
        <v>689850.405</v>
      </c>
      <c r="D37" s="47">
        <v>668984.847</v>
      </c>
      <c r="E37" s="47">
        <v>676688.799</v>
      </c>
      <c r="F37" s="47">
        <v>691200.072</v>
      </c>
      <c r="G37" s="47">
        <v>697625.978</v>
      </c>
      <c r="H37" s="47">
        <v>709016.757</v>
      </c>
      <c r="I37" s="31"/>
    </row>
    <row r="38" spans="1:9" ht="15">
      <c r="A38" s="43"/>
      <c r="B38" s="60"/>
      <c r="C38" s="60"/>
      <c r="D38" s="60"/>
      <c r="E38" s="60"/>
      <c r="F38" s="60"/>
      <c r="G38" s="60"/>
      <c r="H38" s="60"/>
      <c r="I38" s="31"/>
    </row>
    <row r="39" spans="1:9" ht="15">
      <c r="A39" s="43"/>
      <c r="B39" s="64">
        <f>+B6+B7+B8+B9+B10+B11+B16+B17+B18+B19-B20</f>
        <v>0</v>
      </c>
      <c r="C39" s="64">
        <f aca="true" t="shared" si="3" ref="C39:H39">+C6+C7+C8+C9+C10+C11+C16+C17+C18+C19-C20</f>
        <v>0</v>
      </c>
      <c r="D39" s="64">
        <f t="shared" si="3"/>
        <v>0</v>
      </c>
      <c r="E39" s="64">
        <f t="shared" si="3"/>
        <v>0</v>
      </c>
      <c r="F39" s="64">
        <f t="shared" si="3"/>
        <v>0</v>
      </c>
      <c r="G39" s="64">
        <f t="shared" si="3"/>
        <v>0</v>
      </c>
      <c r="H39" s="64">
        <f t="shared" si="3"/>
        <v>0</v>
      </c>
      <c r="I39" s="31"/>
    </row>
    <row r="40" spans="1:9" ht="66.75" customHeight="1">
      <c r="A40"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40" s="287"/>
      <c r="C40" s="287"/>
      <c r="D40" s="287"/>
      <c r="E40" s="287"/>
      <c r="F40" s="287"/>
      <c r="G40" s="287"/>
      <c r="H40" s="287"/>
      <c r="I40" s="286"/>
    </row>
    <row r="41" spans="1:9" ht="15">
      <c r="A41" s="65"/>
      <c r="B41" s="60"/>
      <c r="C41" s="60"/>
      <c r="D41" s="60"/>
      <c r="E41" s="60"/>
      <c r="F41" s="60"/>
      <c r="G41" s="60"/>
      <c r="H41" s="60"/>
      <c r="I41" s="31"/>
    </row>
    <row r="42" spans="1:9" ht="15">
      <c r="A42" s="43"/>
      <c r="B42" s="60"/>
      <c r="C42" s="60"/>
      <c r="D42" s="60"/>
      <c r="E42" s="60"/>
      <c r="F42" s="60"/>
      <c r="G42" s="60"/>
      <c r="H42" s="60"/>
      <c r="I42" s="31"/>
    </row>
    <row r="43" spans="1:9" ht="15">
      <c r="A43" s="65"/>
      <c r="B43" s="30"/>
      <c r="C43" s="30"/>
      <c r="D43" s="30"/>
      <c r="E43" s="30"/>
      <c r="F43" s="30"/>
      <c r="G43" s="30"/>
      <c r="H43" s="30"/>
      <c r="I43" s="31"/>
    </row>
    <row r="44" ht="15">
      <c r="I44" s="31"/>
    </row>
    <row r="45" ht="15">
      <c r="I45" s="31"/>
    </row>
    <row r="46" ht="15">
      <c r="I46" s="31"/>
    </row>
    <row r="47" ht="15">
      <c r="I47" s="31"/>
    </row>
    <row r="48" ht="15">
      <c r="I48" s="31"/>
    </row>
    <row r="49" ht="15">
      <c r="I49" s="31"/>
    </row>
    <row r="50" ht="15">
      <c r="I50" s="31"/>
    </row>
    <row r="51" ht="15">
      <c r="I51" s="31"/>
    </row>
    <row r="52" ht="15">
      <c r="I52" s="31"/>
    </row>
    <row r="53" ht="15">
      <c r="I53" s="31"/>
    </row>
    <row r="54" ht="15">
      <c r="I54" s="31"/>
    </row>
    <row r="55" ht="15">
      <c r="I55" s="31"/>
    </row>
    <row r="56" ht="15">
      <c r="I56" s="31"/>
    </row>
    <row r="57" ht="15">
      <c r="I57" s="31"/>
    </row>
    <row r="58" ht="15">
      <c r="I58" s="31"/>
    </row>
    <row r="59" ht="15">
      <c r="I59" s="31"/>
    </row>
    <row r="60" ht="15">
      <c r="I60" s="31"/>
    </row>
    <row r="61" ht="15">
      <c r="I61" s="31"/>
    </row>
    <row r="62" ht="15">
      <c r="I62" s="31"/>
    </row>
    <row r="63" ht="15">
      <c r="I63" s="31"/>
    </row>
    <row r="64" ht="15">
      <c r="I64" s="31"/>
    </row>
    <row r="65" ht="15">
      <c r="I65" s="31"/>
    </row>
    <row r="66" ht="15">
      <c r="I66" s="31"/>
    </row>
    <row r="67" ht="15">
      <c r="I67" s="31"/>
    </row>
    <row r="68" ht="15">
      <c r="I68" s="31"/>
    </row>
    <row r="69" ht="15">
      <c r="I69" s="31"/>
    </row>
    <row r="70" ht="15">
      <c r="I70" s="31"/>
    </row>
    <row r="71" ht="15">
      <c r="I71" s="31"/>
    </row>
    <row r="72" ht="15">
      <c r="I72" s="31"/>
    </row>
    <row r="73" ht="15">
      <c r="I73" s="31"/>
    </row>
    <row r="74" ht="15">
      <c r="I74" s="31"/>
    </row>
    <row r="75" ht="15">
      <c r="I75" s="31"/>
    </row>
    <row r="76" ht="15">
      <c r="I76" s="31"/>
    </row>
    <row r="77" ht="15">
      <c r="I77" s="31"/>
    </row>
    <row r="78" ht="15">
      <c r="I78" s="31"/>
    </row>
    <row r="79" ht="15">
      <c r="I79" s="31"/>
    </row>
    <row r="80" ht="15">
      <c r="I80" s="31"/>
    </row>
    <row r="81" ht="15">
      <c r="I81" s="31"/>
    </row>
    <row r="82" ht="15">
      <c r="I82" s="31"/>
    </row>
    <row r="83" ht="15">
      <c r="I83" s="31"/>
    </row>
    <row r="84" ht="15">
      <c r="I84" s="31"/>
    </row>
    <row r="85" ht="15">
      <c r="I85" s="31"/>
    </row>
    <row r="86" ht="15">
      <c r="I86" s="31"/>
    </row>
    <row r="87" ht="15">
      <c r="I87" s="31"/>
    </row>
    <row r="88" ht="15">
      <c r="I88" s="31"/>
    </row>
    <row r="89" ht="15">
      <c r="I89" s="31"/>
    </row>
    <row r="90" ht="15">
      <c r="I90" s="31"/>
    </row>
    <row r="91" ht="15">
      <c r="I91" s="31"/>
    </row>
    <row r="92" ht="15">
      <c r="I92" s="31"/>
    </row>
    <row r="93" ht="15">
      <c r="I93" s="31"/>
    </row>
    <row r="94" ht="15">
      <c r="I94" s="31"/>
    </row>
    <row r="95" ht="15">
      <c r="I95" s="31"/>
    </row>
    <row r="96" ht="15">
      <c r="I96" s="31"/>
    </row>
    <row r="97" ht="15">
      <c r="I97" s="31"/>
    </row>
    <row r="98" ht="15">
      <c r="I98" s="31"/>
    </row>
    <row r="99" ht="15">
      <c r="I99" s="31"/>
    </row>
    <row r="100" ht="15">
      <c r="I100" s="31"/>
    </row>
    <row r="101" ht="15">
      <c r="I101" s="31"/>
    </row>
    <row r="102" ht="15">
      <c r="I102" s="31"/>
    </row>
    <row r="103" ht="15">
      <c r="I103" s="31"/>
    </row>
    <row r="104" ht="15">
      <c r="I104" s="31"/>
    </row>
    <row r="105" ht="15">
      <c r="I105" s="31"/>
    </row>
    <row r="106" ht="15">
      <c r="I106" s="31"/>
    </row>
    <row r="107" ht="15">
      <c r="I107" s="31"/>
    </row>
    <row r="108" ht="15">
      <c r="I108" s="31"/>
    </row>
    <row r="109" ht="15">
      <c r="I109" s="31"/>
    </row>
    <row r="110" ht="15">
      <c r="I110" s="31"/>
    </row>
    <row r="111" ht="15">
      <c r="I111" s="31"/>
    </row>
    <row r="112" ht="15">
      <c r="I112" s="31"/>
    </row>
    <row r="113" ht="15">
      <c r="I113" s="31"/>
    </row>
    <row r="114" ht="15">
      <c r="I114" s="31"/>
    </row>
    <row r="115" ht="15">
      <c r="I115" s="31"/>
    </row>
    <row r="116" ht="15">
      <c r="I116" s="31"/>
    </row>
    <row r="117" ht="15">
      <c r="I117" s="31"/>
    </row>
    <row r="118" ht="15">
      <c r="I118" s="31"/>
    </row>
    <row r="119" ht="15">
      <c r="I119" s="31"/>
    </row>
    <row r="120" ht="15">
      <c r="I120" s="31"/>
    </row>
    <row r="121" ht="15">
      <c r="I121" s="31"/>
    </row>
    <row r="122" ht="15">
      <c r="I122" s="31"/>
    </row>
    <row r="123" ht="15">
      <c r="I123" s="31"/>
    </row>
    <row r="124" ht="15">
      <c r="I124" s="31"/>
    </row>
    <row r="125" ht="15">
      <c r="I125" s="31"/>
    </row>
    <row r="126" ht="15">
      <c r="I126" s="31"/>
    </row>
    <row r="127" ht="15">
      <c r="I127" s="31"/>
    </row>
    <row r="128" ht="15">
      <c r="I128" s="31"/>
    </row>
    <row r="129" ht="15">
      <c r="I129" s="31"/>
    </row>
    <row r="130" ht="15">
      <c r="I130" s="31"/>
    </row>
    <row r="131" ht="15">
      <c r="I131" s="31"/>
    </row>
    <row r="132" ht="15">
      <c r="I132" s="31"/>
    </row>
    <row r="133" ht="15">
      <c r="I133" s="31"/>
    </row>
    <row r="134" ht="15">
      <c r="I134" s="31"/>
    </row>
    <row r="135" ht="15">
      <c r="I135" s="31"/>
    </row>
    <row r="136" ht="15">
      <c r="I136" s="31"/>
    </row>
    <row r="137" ht="15">
      <c r="I137" s="31"/>
    </row>
    <row r="138" ht="15">
      <c r="I138" s="31"/>
    </row>
    <row r="139" ht="15">
      <c r="I139" s="31"/>
    </row>
    <row r="140" ht="15">
      <c r="I140" s="31"/>
    </row>
    <row r="141" ht="15">
      <c r="I141" s="31"/>
    </row>
    <row r="142" ht="15">
      <c r="I142" s="31"/>
    </row>
    <row r="143" ht="15">
      <c r="I143" s="31"/>
    </row>
    <row r="144" ht="15">
      <c r="I144" s="31"/>
    </row>
    <row r="145" ht="15">
      <c r="I145" s="31"/>
    </row>
    <row r="146" ht="15">
      <c r="I146" s="31"/>
    </row>
    <row r="147" ht="15">
      <c r="I147" s="31"/>
    </row>
    <row r="148" ht="15">
      <c r="I148" s="31"/>
    </row>
    <row r="149" ht="15">
      <c r="I149" s="31"/>
    </row>
    <row r="150" ht="15">
      <c r="I150" s="31"/>
    </row>
    <row r="151" ht="15">
      <c r="I151" s="31"/>
    </row>
    <row r="152" ht="15">
      <c r="I152" s="31"/>
    </row>
    <row r="153" ht="15">
      <c r="I153" s="31"/>
    </row>
    <row r="154" ht="15">
      <c r="I154" s="31"/>
    </row>
    <row r="155" ht="15">
      <c r="I155" s="31"/>
    </row>
    <row r="156" ht="15">
      <c r="I156" s="31"/>
    </row>
    <row r="157" ht="15">
      <c r="I157" s="31"/>
    </row>
    <row r="158" ht="15">
      <c r="I158" s="31"/>
    </row>
    <row r="159" ht="15">
      <c r="I159" s="31"/>
    </row>
    <row r="160" ht="15">
      <c r="I160" s="31"/>
    </row>
    <row r="161" ht="15">
      <c r="I161" s="31"/>
    </row>
    <row r="162" ht="15">
      <c r="I162" s="31"/>
    </row>
    <row r="163" ht="15">
      <c r="I163" s="31"/>
    </row>
    <row r="164" ht="15">
      <c r="I164" s="31"/>
    </row>
    <row r="165" ht="15">
      <c r="I165" s="31"/>
    </row>
    <row r="166" ht="15">
      <c r="I166" s="31"/>
    </row>
    <row r="167" ht="15">
      <c r="I167" s="31"/>
    </row>
    <row r="168" ht="15">
      <c r="I168" s="31"/>
    </row>
    <row r="169" ht="15">
      <c r="I169" s="31"/>
    </row>
    <row r="170" ht="15">
      <c r="I170" s="31"/>
    </row>
    <row r="171" ht="15">
      <c r="I171" s="31"/>
    </row>
    <row r="172" ht="15">
      <c r="I172" s="31"/>
    </row>
    <row r="173" ht="15">
      <c r="I173" s="31"/>
    </row>
    <row r="174" ht="15">
      <c r="I174" s="31"/>
    </row>
    <row r="175" ht="15">
      <c r="I175" s="31"/>
    </row>
    <row r="176" ht="15">
      <c r="I176" s="31"/>
    </row>
    <row r="177" ht="15">
      <c r="I177" s="31"/>
    </row>
    <row r="178" ht="15">
      <c r="I178" s="31"/>
    </row>
    <row r="179" ht="15">
      <c r="I179" s="31"/>
    </row>
    <row r="180" ht="15">
      <c r="I180" s="31"/>
    </row>
    <row r="181" ht="15">
      <c r="I181" s="31"/>
    </row>
    <row r="182" ht="15">
      <c r="I182" s="31"/>
    </row>
    <row r="183" ht="15">
      <c r="I183" s="31"/>
    </row>
    <row r="184" ht="15">
      <c r="I184" s="31"/>
    </row>
    <row r="185" ht="15">
      <c r="I185" s="31"/>
    </row>
    <row r="186" ht="15">
      <c r="I186" s="31"/>
    </row>
    <row r="187" ht="15">
      <c r="I187" s="31"/>
    </row>
    <row r="188" ht="15">
      <c r="I188" s="31"/>
    </row>
    <row r="189" ht="15">
      <c r="I189" s="31"/>
    </row>
    <row r="190" ht="15">
      <c r="I190" s="31"/>
    </row>
    <row r="191" ht="15">
      <c r="I191" s="31"/>
    </row>
    <row r="192" ht="15">
      <c r="I192" s="31"/>
    </row>
    <row r="193" ht="15">
      <c r="I193" s="31"/>
    </row>
    <row r="194" ht="15">
      <c r="I194" s="31"/>
    </row>
    <row r="195" ht="15">
      <c r="I195" s="31"/>
    </row>
    <row r="196" ht="15">
      <c r="I196" s="31"/>
    </row>
    <row r="197" ht="15">
      <c r="I197" s="31"/>
    </row>
    <row r="198" ht="15">
      <c r="I198" s="31"/>
    </row>
    <row r="199" ht="15">
      <c r="I199" s="31"/>
    </row>
    <row r="200" ht="15">
      <c r="I200" s="31"/>
    </row>
    <row r="201" ht="15">
      <c r="I201" s="31"/>
    </row>
    <row r="202" ht="15">
      <c r="I202" s="31"/>
    </row>
    <row r="1000" ht="15">
      <c r="A1000" s="31" t="s">
        <v>406</v>
      </c>
    </row>
  </sheetData>
  <sheetProtection/>
  <mergeCells count="1">
    <mergeCell ref="A40:H40"/>
  </mergeCells>
  <conditionalFormatting sqref="B39">
    <cfRule type="cellIs" priority="2" dxfId="92" operator="notBetween">
      <formula>0.5</formula>
      <formula>-0.5</formula>
    </cfRule>
  </conditionalFormatting>
  <conditionalFormatting sqref="C39:H39">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HLOOKUP(INDICE!$F$2,Nombres!$C$3:$D$636,7,FALSE)</f>
        <v>Spain</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v>2018</v>
      </c>
      <c r="C6" s="288"/>
      <c r="D6" s="288"/>
      <c r="E6" s="289"/>
      <c r="F6" s="292">
        <v>2019</v>
      </c>
      <c r="G6" s="288"/>
      <c r="H6" s="288"/>
    </row>
    <row r="7" spans="1:8" ht="15.75">
      <c r="A7" s="38"/>
      <c r="B7" s="39" t="str">
        <f>HLOOKUP(INDICE!$F$2,Nombres!$C$3:$D$636,167,FALSE)</f>
        <v>1Q</v>
      </c>
      <c r="C7" s="39" t="str">
        <f>HLOOKUP(INDICE!$F$2,Nombres!$C$3:$D$636,168,FALSE)</f>
        <v>2Q</v>
      </c>
      <c r="D7" s="39" t="str">
        <f>HLOOKUP(INDICE!$F$2,Nombres!$C$3:$D$636,169,FALSE)</f>
        <v>3Q</v>
      </c>
      <c r="E7" s="40" t="str">
        <f>HLOOKUP(INDICE!$F$2,Nombres!$C$3:$D$636,170,FALSE)</f>
        <v>4Q</v>
      </c>
      <c r="F7" s="39" t="str">
        <f>HLOOKUP(INDICE!$F$2,Nombres!$C$3:$D$636,167,FALSE)</f>
        <v>1Q</v>
      </c>
      <c r="G7" s="39" t="str">
        <f>HLOOKUP(INDICE!$F$2,Nombres!$C$3:$D$636,168,FALSE)</f>
        <v>2Q</v>
      </c>
      <c r="H7" s="39" t="str">
        <f>HLOOKUP(INDICE!$F$2,Nombres!$C$3:$D$636,169,FALSE)</f>
        <v>3Q</v>
      </c>
    </row>
    <row r="8" spans="1:8" ht="15">
      <c r="A8" s="41" t="str">
        <f>HLOOKUP(INDICE!$F$2,Nombres!$C$3:$D$636,33,FALSE)</f>
        <v>Net interest income</v>
      </c>
      <c r="B8" s="41">
        <v>926.63351644</v>
      </c>
      <c r="C8" s="41">
        <v>925.6096647400001</v>
      </c>
      <c r="D8" s="41">
        <v>922.6414027799999</v>
      </c>
      <c r="E8" s="42">
        <v>922.8853618400001</v>
      </c>
      <c r="F8" s="52">
        <v>881.65156544</v>
      </c>
      <c r="G8" s="52">
        <v>926.4662719999999</v>
      </c>
      <c r="H8" s="52">
        <v>912.7835062500003</v>
      </c>
    </row>
    <row r="9" spans="1:8" ht="15">
      <c r="A9" s="43" t="str">
        <f>HLOOKUP(INDICE!$F$2,Nombres!$C$3:$D$636,34,FALSE)</f>
        <v>Net fees and commissions</v>
      </c>
      <c r="B9" s="44">
        <v>412.19292475</v>
      </c>
      <c r="C9" s="44">
        <v>438.57151659000004</v>
      </c>
      <c r="D9" s="44">
        <v>420.03600721</v>
      </c>
      <c r="E9" s="45">
        <v>411.14310949000003</v>
      </c>
      <c r="F9" s="44">
        <v>413.50124959999994</v>
      </c>
      <c r="G9" s="44">
        <v>432.07565062</v>
      </c>
      <c r="H9" s="44">
        <v>441.80131272000006</v>
      </c>
    </row>
    <row r="10" spans="1:8" ht="15">
      <c r="A10" s="43" t="str">
        <f>HLOOKUP(INDICE!$F$2,Nombres!$C$3:$D$636,35,FALSE)</f>
        <v>Net trading income</v>
      </c>
      <c r="B10" s="44">
        <v>167.17392911000002</v>
      </c>
      <c r="C10" s="44">
        <v>115.28701519999998</v>
      </c>
      <c r="D10" s="44">
        <v>41.08931909000002</v>
      </c>
      <c r="E10" s="45">
        <v>205.46684206000003</v>
      </c>
      <c r="F10" s="44">
        <v>108.31173537</v>
      </c>
      <c r="G10" s="44">
        <v>-16.365980700000012</v>
      </c>
      <c r="H10" s="44">
        <v>29.512422309999984</v>
      </c>
    </row>
    <row r="11" spans="1:8" ht="15">
      <c r="A11" s="43" t="str">
        <f>HLOOKUP(INDICE!$F$2,Nombres!$C$3:$D$636,36,FALSE)</f>
        <v>Other operating income and expenses</v>
      </c>
      <c r="B11" s="44">
        <v>82.38932764</v>
      </c>
      <c r="C11" s="44">
        <v>-44.68886217999999</v>
      </c>
      <c r="D11" s="44">
        <v>86.76686396999999</v>
      </c>
      <c r="E11" s="45">
        <v>-64.96840194999996</v>
      </c>
      <c r="F11" s="44">
        <v>93.93126723</v>
      </c>
      <c r="G11" s="44">
        <v>-21.643782539999975</v>
      </c>
      <c r="H11" s="44">
        <v>105.07230922000001</v>
      </c>
    </row>
    <row r="12" spans="1:8" ht="15">
      <c r="A12" s="41" t="str">
        <f>HLOOKUP(INDICE!$F$2,Nombres!$C$3:$D$636,37,FALSE)</f>
        <v>Gross income</v>
      </c>
      <c r="B12" s="41">
        <f>+SUM(B8:B11)</f>
        <v>1588.38969794</v>
      </c>
      <c r="C12" s="41">
        <f aca="true" t="shared" si="0" ref="C12:H12">+SUM(C8:C11)</f>
        <v>1434.7793343500002</v>
      </c>
      <c r="D12" s="41">
        <f t="shared" si="0"/>
        <v>1470.53359305</v>
      </c>
      <c r="E12" s="42">
        <f t="shared" si="0"/>
        <v>1474.5269114400003</v>
      </c>
      <c r="F12" s="52">
        <f t="shared" si="0"/>
        <v>1497.39581764</v>
      </c>
      <c r="G12" s="52">
        <f t="shared" si="0"/>
        <v>1320.53215938</v>
      </c>
      <c r="H12" s="52">
        <f t="shared" si="0"/>
        <v>1489.1695505000005</v>
      </c>
    </row>
    <row r="13" spans="1:8" ht="15">
      <c r="A13" s="43" t="str">
        <f>HLOOKUP(INDICE!$F$2,Nombres!$C$3:$D$636,38,FALSE)</f>
        <v>Operating expenses</v>
      </c>
      <c r="B13" s="44">
        <v>-844.2884815500001</v>
      </c>
      <c r="C13" s="44">
        <v>-842.7313230899999</v>
      </c>
      <c r="D13" s="44">
        <v>-830.56065154</v>
      </c>
      <c r="E13" s="45">
        <v>-816.9333500799999</v>
      </c>
      <c r="F13" s="44">
        <v>-814.45459924</v>
      </c>
      <c r="G13" s="44">
        <v>-813.65689041</v>
      </c>
      <c r="H13" s="44">
        <v>-813.01581409</v>
      </c>
    </row>
    <row r="14" spans="1:8" ht="15">
      <c r="A14" s="43" t="str">
        <f>HLOOKUP(INDICE!$F$2,Nombres!$C$3:$D$636,39,FALSE)</f>
        <v>  Administration expenses</v>
      </c>
      <c r="B14" s="44">
        <v>-767.5513142799999</v>
      </c>
      <c r="C14" s="44">
        <v>-766.9945335899998</v>
      </c>
      <c r="D14" s="44">
        <v>-752.85446742</v>
      </c>
      <c r="E14" s="45">
        <v>-739.5250868699999</v>
      </c>
      <c r="F14" s="44">
        <v>-694.9742854100001</v>
      </c>
      <c r="G14" s="44">
        <v>-694.5112599199999</v>
      </c>
      <c r="H14" s="44">
        <v>-692.3112926</v>
      </c>
    </row>
    <row r="15" spans="1:8" ht="15">
      <c r="A15" s="46" t="str">
        <f>HLOOKUP(INDICE!$F$2,Nombres!$C$3:$D$636,40,FALSE)</f>
        <v>  Personnel expenses</v>
      </c>
      <c r="B15" s="44">
        <v>-480.24802853</v>
      </c>
      <c r="C15" s="44">
        <v>-470.04355919</v>
      </c>
      <c r="D15" s="44">
        <v>-466.0806605900001</v>
      </c>
      <c r="E15" s="45">
        <v>-464.01193723999995</v>
      </c>
      <c r="F15" s="44">
        <v>-472.41235122</v>
      </c>
      <c r="G15" s="44">
        <v>-469.98839588000004</v>
      </c>
      <c r="H15" s="44">
        <v>-471.21584100000007</v>
      </c>
    </row>
    <row r="16" spans="1:8" ht="15">
      <c r="A16" s="46" t="str">
        <f>HLOOKUP(INDICE!$F$2,Nombres!$C$3:$D$636,41,FALSE)</f>
        <v>  General and administrative expenses</v>
      </c>
      <c r="B16" s="44">
        <v>-287.30328575000004</v>
      </c>
      <c r="C16" s="44">
        <v>-296.95097439999995</v>
      </c>
      <c r="D16" s="44">
        <v>-286.77380683</v>
      </c>
      <c r="E16" s="45">
        <v>-275.51314962999993</v>
      </c>
      <c r="F16" s="44">
        <v>-222.56193419</v>
      </c>
      <c r="G16" s="44">
        <v>-224.52286403999994</v>
      </c>
      <c r="H16" s="44">
        <v>-221.09545160000002</v>
      </c>
    </row>
    <row r="17" spans="1:8" ht="15">
      <c r="A17" s="43" t="str">
        <f>HLOOKUP(INDICE!$F$2,Nombres!$C$3:$D$636,42,FALSE)</f>
        <v>  Depreciation</v>
      </c>
      <c r="B17" s="44">
        <v>-76.73716727</v>
      </c>
      <c r="C17" s="44">
        <v>-75.7367895</v>
      </c>
      <c r="D17" s="44">
        <v>-77.70618411999999</v>
      </c>
      <c r="E17" s="45">
        <v>-77.40826320999999</v>
      </c>
      <c r="F17" s="44">
        <v>-119.48031383000001</v>
      </c>
      <c r="G17" s="44">
        <v>-119.14563049</v>
      </c>
      <c r="H17" s="44">
        <v>-120.70452148999999</v>
      </c>
    </row>
    <row r="18" spans="1:8" ht="15">
      <c r="A18" s="41" t="str">
        <f>HLOOKUP(INDICE!$F$2,Nombres!$C$3:$D$636,43,FALSE)</f>
        <v>Operating income</v>
      </c>
      <c r="B18" s="41">
        <f>+B12+B13</f>
        <v>744.1012163899998</v>
      </c>
      <c r="C18" s="41">
        <f aca="true" t="shared" si="1" ref="C18:H18">+C12+C13</f>
        <v>592.0480112600003</v>
      </c>
      <c r="D18" s="41">
        <f t="shared" si="1"/>
        <v>639.97294151</v>
      </c>
      <c r="E18" s="42">
        <f t="shared" si="1"/>
        <v>657.5935613600004</v>
      </c>
      <c r="F18" s="52">
        <f t="shared" si="1"/>
        <v>682.9412183999999</v>
      </c>
      <c r="G18" s="52">
        <f t="shared" si="1"/>
        <v>506.87526897</v>
      </c>
      <c r="H18" s="52">
        <f t="shared" si="1"/>
        <v>676.1537364100004</v>
      </c>
    </row>
    <row r="19" spans="1:8" ht="15">
      <c r="A19" s="43" t="str">
        <f>HLOOKUP(INDICE!$F$2,Nombres!$C$3:$D$636,44,FALSE)</f>
        <v>Impaiment on financial assets not measured at fair value through profit or loss</v>
      </c>
      <c r="B19" s="44">
        <v>-125.19731832000005</v>
      </c>
      <c r="C19" s="44">
        <v>-87.90511296</v>
      </c>
      <c r="D19" s="44">
        <v>-73.84436397000003</v>
      </c>
      <c r="E19" s="45">
        <v>-96.51613950999992</v>
      </c>
      <c r="F19" s="44">
        <v>-77.78637065999996</v>
      </c>
      <c r="G19" s="44">
        <v>102.41911926000006</v>
      </c>
      <c r="H19" s="44">
        <v>-130.7489063700001</v>
      </c>
    </row>
    <row r="20" spans="1:8" ht="15">
      <c r="A20" s="43" t="str">
        <f>HLOOKUP(INDICE!$F$2,Nombres!$C$3:$D$636,45,FALSE)</f>
        <v>Provisions or reversal of provisions and other results</v>
      </c>
      <c r="B20" s="44">
        <v>-41.758642800000004</v>
      </c>
      <c r="C20" s="44">
        <v>-24.818403460000003</v>
      </c>
      <c r="D20" s="44">
        <v>-141.67215249999998</v>
      </c>
      <c r="E20" s="45">
        <v>-201.99762528000002</v>
      </c>
      <c r="F20" s="44">
        <v>-123.075217</v>
      </c>
      <c r="G20" s="44">
        <v>-64.57879977</v>
      </c>
      <c r="H20" s="44">
        <v>-83.12279788</v>
      </c>
    </row>
    <row r="21" spans="1:8" ht="15">
      <c r="A21" s="41" t="str">
        <f>HLOOKUP(INDICE!$F$2,Nombres!$C$3:$D$636,46,FALSE)</f>
        <v>Profit/(loss) before tax</v>
      </c>
      <c r="B21" s="41">
        <f>+B18+B19+B20</f>
        <v>577.1452552699998</v>
      </c>
      <c r="C21" s="41">
        <f aca="true" t="shared" si="2" ref="C21:H21">+C18+C19+C20</f>
        <v>479.3244948400003</v>
      </c>
      <c r="D21" s="41">
        <f t="shared" si="2"/>
        <v>424.45642504000006</v>
      </c>
      <c r="E21" s="42">
        <f t="shared" si="2"/>
        <v>359.0797965700005</v>
      </c>
      <c r="F21" s="52">
        <f t="shared" si="2"/>
        <v>482.0796307399999</v>
      </c>
      <c r="G21" s="52">
        <f t="shared" si="2"/>
        <v>544.71558846</v>
      </c>
      <c r="H21" s="52">
        <f t="shared" si="2"/>
        <v>462.2820321600003</v>
      </c>
    </row>
    <row r="22" spans="1:8" ht="15">
      <c r="A22" s="43" t="str">
        <f>HLOOKUP(INDICE!$F$2,Nombres!$C$3:$D$636,47,FALSE)</f>
        <v>Income tax</v>
      </c>
      <c r="B22" s="44">
        <v>-172.36980698</v>
      </c>
      <c r="C22" s="44">
        <v>-136.16504708</v>
      </c>
      <c r="D22" s="44">
        <v>-78.41172021</v>
      </c>
      <c r="E22" s="45">
        <v>-49.88550066999996</v>
      </c>
      <c r="F22" s="44">
        <v>-136.69692153</v>
      </c>
      <c r="G22" s="44">
        <v>-154.91750891000004</v>
      </c>
      <c r="H22" s="44">
        <v>-131.27065599</v>
      </c>
    </row>
    <row r="23" spans="1:8" ht="15">
      <c r="A23" s="41" t="str">
        <f>HLOOKUP(INDICE!$F$2,Nombres!$C$3:$D$636,48,FALSE)</f>
        <v>Profit/(loss) for the year</v>
      </c>
      <c r="B23" s="41">
        <f>+B21+B22</f>
        <v>404.77544828999976</v>
      </c>
      <c r="C23" s="41">
        <f aca="true" t="shared" si="3" ref="C23:H23">+C21+C22</f>
        <v>343.15944776000026</v>
      </c>
      <c r="D23" s="41">
        <f t="shared" si="3"/>
        <v>346.04470483000006</v>
      </c>
      <c r="E23" s="42">
        <f t="shared" si="3"/>
        <v>309.19429590000055</v>
      </c>
      <c r="F23" s="52">
        <f t="shared" si="3"/>
        <v>345.3827092099999</v>
      </c>
      <c r="G23" s="52">
        <f t="shared" si="3"/>
        <v>389.79807955</v>
      </c>
      <c r="H23" s="52">
        <f t="shared" si="3"/>
        <v>331.0113761700003</v>
      </c>
    </row>
    <row r="24" spans="1:8" ht="15">
      <c r="A24" s="43" t="str">
        <f>HLOOKUP(INDICE!$F$2,Nombres!$C$3:$D$636,49,FALSE)</f>
        <v>Non-controlling interests</v>
      </c>
      <c r="B24" s="44">
        <v>-0.8722644700000002</v>
      </c>
      <c r="C24" s="44">
        <v>-0.75138779</v>
      </c>
      <c r="D24" s="44">
        <v>-0.7327031800000001</v>
      </c>
      <c r="E24" s="45">
        <v>-0.6796715399999999</v>
      </c>
      <c r="F24" s="44">
        <v>-0.8074134</v>
      </c>
      <c r="G24" s="44">
        <v>-0.5400536</v>
      </c>
      <c r="H24" s="44">
        <v>-0.51821124</v>
      </c>
    </row>
    <row r="25" spans="1:8" ht="15">
      <c r="A25" s="47" t="str">
        <f>HLOOKUP(INDICE!$F$2,Nombres!$C$3:$D$636,50,FALSE)</f>
        <v>Net attributable profit</v>
      </c>
      <c r="B25" s="47">
        <f>+B23+B24</f>
        <v>403.90318381999975</v>
      </c>
      <c r="C25" s="47">
        <f aca="true" t="shared" si="4" ref="C25:H25">+C23+C24</f>
        <v>342.40805997000024</v>
      </c>
      <c r="D25" s="47">
        <f t="shared" si="4"/>
        <v>345.31200165000007</v>
      </c>
      <c r="E25" s="47">
        <f t="shared" si="4"/>
        <v>308.51462436000054</v>
      </c>
      <c r="F25" s="53">
        <f t="shared" si="4"/>
        <v>344.57529580999994</v>
      </c>
      <c r="G25" s="53">
        <f t="shared" si="4"/>
        <v>389.25802595</v>
      </c>
      <c r="H25" s="53">
        <f t="shared" si="4"/>
        <v>330.49316493000026</v>
      </c>
    </row>
    <row r="26" spans="1:8" ht="15">
      <c r="A26" s="65"/>
      <c r="B26" s="66">
        <v>0</v>
      </c>
      <c r="C26" s="66">
        <v>0</v>
      </c>
      <c r="D26" s="66">
        <v>0</v>
      </c>
      <c r="E26" s="66">
        <v>0</v>
      </c>
      <c r="F26" s="67">
        <v>0</v>
      </c>
      <c r="G26" s="67">
        <v>0</v>
      </c>
      <c r="H26" s="67">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v>43190</v>
      </c>
      <c r="C30" s="55">
        <v>43281</v>
      </c>
      <c r="D30" s="55">
        <v>43373</v>
      </c>
      <c r="E30" s="55">
        <v>43465</v>
      </c>
      <c r="F30" s="55">
        <v>43555</v>
      </c>
      <c r="G30" s="55">
        <v>43646</v>
      </c>
      <c r="H30" s="55">
        <v>43738</v>
      </c>
    </row>
    <row r="31" spans="1:10" ht="15">
      <c r="A31" s="43" t="str">
        <f>HLOOKUP(INDICE!$F$2,Nombres!$C$3:$D$636,52,FALSE)</f>
        <v>Cash, cash balances at central banks and other demand deposits</v>
      </c>
      <c r="B31" s="44">
        <v>20005.742121</v>
      </c>
      <c r="C31" s="44">
        <v>15219.12972</v>
      </c>
      <c r="D31" s="44">
        <v>19696.132853</v>
      </c>
      <c r="E31" s="45">
        <v>28544.740211000004</v>
      </c>
      <c r="F31" s="44">
        <v>18874.748505000003</v>
      </c>
      <c r="G31" s="44">
        <v>12156.758994</v>
      </c>
      <c r="H31" s="44">
        <v>12718.766377999998</v>
      </c>
      <c r="J31" s="56"/>
    </row>
    <row r="32" spans="1:10" ht="15">
      <c r="A32" s="43" t="str">
        <f>HLOOKUP(INDICE!$F$2,Nombres!$C$3:$D$636,53,FALSE)</f>
        <v>Financial assets designated at fair value </v>
      </c>
      <c r="B32" s="60">
        <v>111647.10578284998</v>
      </c>
      <c r="C32" s="60">
        <v>111956.86970243999</v>
      </c>
      <c r="D32" s="60">
        <v>110213.84737602</v>
      </c>
      <c r="E32" s="68">
        <v>107320.45938387</v>
      </c>
      <c r="F32" s="44">
        <v>113734.82814217001</v>
      </c>
      <c r="G32" s="44">
        <v>127397.49831697001</v>
      </c>
      <c r="H32" s="44">
        <v>132382.95473774</v>
      </c>
      <c r="J32" s="56"/>
    </row>
    <row r="33" spans="1:10" ht="15">
      <c r="A33" s="43" t="str">
        <f>HLOOKUP(INDICE!$F$2,Nombres!$C$3:$D$636,54,FALSE)</f>
        <v>Financial assets at amortized cost</v>
      </c>
      <c r="B33" s="44">
        <v>196584.65776554003</v>
      </c>
      <c r="C33" s="44">
        <v>199232.6693992</v>
      </c>
      <c r="D33" s="44">
        <v>195996.79077291998</v>
      </c>
      <c r="E33" s="45">
        <v>195467.28558031</v>
      </c>
      <c r="F33" s="44">
        <v>199111.01585209998</v>
      </c>
      <c r="G33" s="44">
        <v>200008.31583766</v>
      </c>
      <c r="H33" s="44">
        <v>196380.37626308002</v>
      </c>
      <c r="J33" s="56"/>
    </row>
    <row r="34" spans="1:10" ht="15">
      <c r="A34" s="43" t="str">
        <f>HLOOKUP(INDICE!$F$2,Nombres!$C$3:$D$636,55,FALSE)</f>
        <v>    of which loans and advances to customers</v>
      </c>
      <c r="B34" s="44">
        <v>168910.84287254</v>
      </c>
      <c r="C34" s="44">
        <v>171194.33980320004</v>
      </c>
      <c r="D34" s="44">
        <v>168599.63753892</v>
      </c>
      <c r="E34" s="45">
        <v>170438.31274131</v>
      </c>
      <c r="F34" s="44">
        <v>170892.57044409995</v>
      </c>
      <c r="G34" s="44">
        <v>171080.63557965998</v>
      </c>
      <c r="H34" s="44">
        <v>166217.02424008003</v>
      </c>
      <c r="J34" s="56"/>
    </row>
    <row r="35" spans="1:10" ht="15">
      <c r="A35" s="43" t="str">
        <f>HLOOKUP(INDICE!$F$2,Nombres!$C$3:$D$636,121,FALSE)</f>
        <v>Inter-area positions</v>
      </c>
      <c r="B35" s="44">
        <v>10940.926070920075</v>
      </c>
      <c r="C35" s="44">
        <v>12750.433886679879</v>
      </c>
      <c r="D35" s="44">
        <v>11957.881095599965</v>
      </c>
      <c r="E35" s="45">
        <v>14025.73067397991</v>
      </c>
      <c r="F35" s="44">
        <v>13172.992764050025</v>
      </c>
      <c r="G35" s="44">
        <v>18793.60983855999</v>
      </c>
      <c r="H35" s="44">
        <v>19144.90094375983</v>
      </c>
      <c r="J35" s="56"/>
    </row>
    <row r="36" spans="1:10" ht="15">
      <c r="A36" s="43" t="str">
        <f>HLOOKUP(INDICE!$F$2,Nombres!$C$3:$D$636,56,FALSE)</f>
        <v>Tangible assets</v>
      </c>
      <c r="B36" s="60">
        <v>976.3945970000001</v>
      </c>
      <c r="C36" s="60">
        <v>956.0154299999999</v>
      </c>
      <c r="D36" s="60">
        <v>956.711065</v>
      </c>
      <c r="E36" s="68">
        <v>1293.500859</v>
      </c>
      <c r="F36" s="44">
        <v>3529.9923849999996</v>
      </c>
      <c r="G36" s="44">
        <v>3483.7767670000003</v>
      </c>
      <c r="H36" s="44">
        <v>3405.283309</v>
      </c>
      <c r="J36" s="56"/>
    </row>
    <row r="37" spans="1:10" ht="15">
      <c r="A37" s="43" t="str">
        <f>HLOOKUP(INDICE!$F$2,Nombres!$C$3:$D$636,57,FALSE)</f>
        <v>Other assets</v>
      </c>
      <c r="B37" s="60">
        <f aca="true" t="shared" si="5" ref="B37:H37">+B38-B36-B33-B32-B31-B35</f>
        <v>12150.081964249974</v>
      </c>
      <c r="C37" s="60">
        <f t="shared" si="5"/>
        <v>12238.925803610033</v>
      </c>
      <c r="D37" s="60">
        <f t="shared" si="5"/>
        <v>13175.708608670018</v>
      </c>
      <c r="E37" s="68">
        <f t="shared" si="5"/>
        <v>8249.449880670065</v>
      </c>
      <c r="F37" s="44">
        <f t="shared" si="5"/>
        <v>8128.587748209997</v>
      </c>
      <c r="G37" s="44">
        <f t="shared" si="5"/>
        <v>7142.265793430011</v>
      </c>
      <c r="H37" s="44">
        <f t="shared" si="5"/>
        <v>8129.237612430181</v>
      </c>
      <c r="J37" s="56"/>
    </row>
    <row r="38" spans="1:10" ht="15">
      <c r="A38" s="47" t="str">
        <f>HLOOKUP(INDICE!$F$2,Nombres!$C$3:$D$636,58,FALSE)</f>
        <v>Total assets / Liabilities and equity</v>
      </c>
      <c r="B38" s="47">
        <v>352304.90830156003</v>
      </c>
      <c r="C38" s="47">
        <v>352354.04394192994</v>
      </c>
      <c r="D38" s="47">
        <v>351997.07177120994</v>
      </c>
      <c r="E38" s="47">
        <v>354901.16658883</v>
      </c>
      <c r="F38" s="53">
        <v>356552.16539653</v>
      </c>
      <c r="G38" s="53">
        <v>368982.22554762</v>
      </c>
      <c r="H38" s="53">
        <v>372161.51924401004</v>
      </c>
      <c r="J38" s="56"/>
    </row>
    <row r="39" spans="1:10" ht="15">
      <c r="A39" s="43" t="str">
        <f>HLOOKUP(INDICE!$F$2,Nombres!$C$3:$D$636,59,FALSE)</f>
        <v>Financial liabilities held for trading and designated at fair value through profit or loss</v>
      </c>
      <c r="B39" s="60">
        <v>75786.171321</v>
      </c>
      <c r="C39" s="60">
        <v>74427.453368</v>
      </c>
      <c r="D39" s="60">
        <v>72847.586181</v>
      </c>
      <c r="E39" s="68">
        <v>71032.935299</v>
      </c>
      <c r="F39" s="44">
        <v>70282.84723399999</v>
      </c>
      <c r="G39" s="44">
        <v>80487.004936</v>
      </c>
      <c r="H39" s="44">
        <v>80834.96399599999</v>
      </c>
      <c r="J39" s="56"/>
    </row>
    <row r="40" spans="1:10" ht="15">
      <c r="A40" s="43" t="str">
        <f>HLOOKUP(INDICE!$F$2,Nombres!$C$3:$D$636,60,FALSE)</f>
        <v>Deposits from central banks and credit institutions</v>
      </c>
      <c r="B40" s="60">
        <v>45481.16953822</v>
      </c>
      <c r="C40" s="60">
        <v>44283.456700860006</v>
      </c>
      <c r="D40" s="60">
        <v>44227.65900059</v>
      </c>
      <c r="E40" s="68">
        <v>45913.77283505</v>
      </c>
      <c r="F40" s="44">
        <v>46697.03511944</v>
      </c>
      <c r="G40" s="44">
        <v>47279.68376749</v>
      </c>
      <c r="H40" s="44">
        <v>46720.28543611</v>
      </c>
      <c r="J40" s="56"/>
    </row>
    <row r="41" spans="1:10" ht="15.75" customHeight="1">
      <c r="A41" s="43" t="str">
        <f>HLOOKUP(INDICE!$F$2,Nombres!$C$3:$D$636,61,FALSE)</f>
        <v>Deposits from customers</v>
      </c>
      <c r="B41" s="60">
        <v>172308.47167087998</v>
      </c>
      <c r="C41" s="60">
        <v>175836.59513461002</v>
      </c>
      <c r="D41" s="60">
        <v>177086.67691076</v>
      </c>
      <c r="E41" s="68">
        <v>183413.53161484003</v>
      </c>
      <c r="F41" s="44">
        <v>181723.359656</v>
      </c>
      <c r="G41" s="44">
        <v>180434.10624000002</v>
      </c>
      <c r="H41" s="44">
        <v>180652.79433099998</v>
      </c>
      <c r="J41" s="56"/>
    </row>
    <row r="42" spans="1:10" ht="15">
      <c r="A42" s="43" t="str">
        <f>HLOOKUP(INDICE!$F$2,Nombres!$C$3:$D$636,62,FALSE)</f>
        <v>Debt certificates</v>
      </c>
      <c r="B42" s="44">
        <v>33648.540785510006</v>
      </c>
      <c r="C42" s="44">
        <v>34272.42588416</v>
      </c>
      <c r="D42" s="44">
        <v>33242.50789390999</v>
      </c>
      <c r="E42" s="45">
        <v>31352.1923353</v>
      </c>
      <c r="F42" s="44">
        <v>31490.247971430003</v>
      </c>
      <c r="G42" s="44">
        <v>32860.65302199</v>
      </c>
      <c r="H42" s="44">
        <v>33562.46343916</v>
      </c>
      <c r="J42" s="56"/>
    </row>
    <row r="43" spans="1:10" ht="15">
      <c r="A43" s="43" t="str">
        <f>HLOOKUP(INDICE!$F$2,Nombres!$C$3:$D$636,122,FALSE)</f>
        <v>Inter-area positions</v>
      </c>
      <c r="B43" s="44">
        <v>0</v>
      </c>
      <c r="C43" s="44">
        <v>0</v>
      </c>
      <c r="D43" s="44">
        <v>0</v>
      </c>
      <c r="E43" s="45">
        <v>0</v>
      </c>
      <c r="F43" s="44">
        <v>0</v>
      </c>
      <c r="G43" s="44">
        <v>0</v>
      </c>
      <c r="H43" s="44">
        <v>0</v>
      </c>
      <c r="J43" s="56"/>
    </row>
    <row r="44" spans="1:10" ht="15">
      <c r="A44" s="43" t="str">
        <f>HLOOKUP(INDICE!$F$2,Nombres!$C$3:$D$636,63,FALSE)</f>
        <v>Other liabilities</v>
      </c>
      <c r="B44" s="44">
        <f>+B38-B39-B40-B41-B42-B45-B43</f>
        <v>13478.142285950033</v>
      </c>
      <c r="C44" s="44">
        <f aca="true" t="shared" si="6" ref="C44:H44">+C38-C39-C40-C41-C42-C45-C43</f>
        <v>13651.647014299928</v>
      </c>
      <c r="D44" s="44">
        <f t="shared" si="6"/>
        <v>14926.632639569956</v>
      </c>
      <c r="E44" s="45">
        <f t="shared" si="6"/>
        <v>14518.502745839962</v>
      </c>
      <c r="F44" s="44">
        <f t="shared" si="6"/>
        <v>17756.200645660036</v>
      </c>
      <c r="G44" s="44">
        <f t="shared" si="6"/>
        <v>19098.573282139972</v>
      </c>
      <c r="H44" s="44">
        <f t="shared" si="6"/>
        <v>21508.287686340063</v>
      </c>
      <c r="J44" s="56"/>
    </row>
    <row r="45" spans="1:10" ht="15">
      <c r="A45" s="43" t="str">
        <f>HLOOKUP(INDICE!$F$2,Nombres!$C$3:$D$636,64,FALSE)</f>
        <v>Economic capital allocated</v>
      </c>
      <c r="B45" s="44">
        <v>11602.412699999999</v>
      </c>
      <c r="C45" s="44">
        <v>9882.46584</v>
      </c>
      <c r="D45" s="44">
        <v>9666.00914538</v>
      </c>
      <c r="E45" s="45">
        <v>8670.231758799999</v>
      </c>
      <c r="F45" s="44">
        <v>8602.474769999999</v>
      </c>
      <c r="G45" s="44">
        <v>8822.2043</v>
      </c>
      <c r="H45" s="44">
        <v>8882.724355399998</v>
      </c>
      <c r="J45" s="56"/>
    </row>
    <row r="46" spans="1:8" ht="15">
      <c r="A46" s="65"/>
      <c r="B46" s="60"/>
      <c r="C46" s="60"/>
      <c r="D46" s="60"/>
      <c r="E46" s="60"/>
      <c r="F46" s="60"/>
      <c r="G46" s="60"/>
      <c r="H46" s="60"/>
    </row>
    <row r="47" spans="1:8" ht="15">
      <c r="A47" s="43"/>
      <c r="B47" s="60"/>
      <c r="C47" s="60"/>
      <c r="D47" s="60"/>
      <c r="E47" s="60"/>
      <c r="F47" s="60"/>
      <c r="G47" s="60"/>
      <c r="H47" s="60"/>
    </row>
    <row r="48" spans="1:8" ht="18">
      <c r="A48" s="69" t="str">
        <f>HLOOKUP(INDICE!$F$2,Nombres!$C$3:$D$636,65,FALSE)</f>
        <v>Relevant business indicators</v>
      </c>
      <c r="B48" s="70"/>
      <c r="C48" s="70"/>
      <c r="D48" s="70"/>
      <c r="E48" s="70"/>
      <c r="F48" s="70"/>
      <c r="G48" s="70"/>
      <c r="H48" s="70"/>
    </row>
    <row r="49" spans="1:8" ht="15">
      <c r="A49" s="35" t="str">
        <f>HLOOKUP(INDICE!$F$2,Nombres!$C$3:$D$636,32,FALSE)</f>
        <v>(Million euros)</v>
      </c>
      <c r="B49" s="30"/>
      <c r="C49" s="30"/>
      <c r="D49" s="30"/>
      <c r="E49" s="30"/>
      <c r="F49" s="30"/>
      <c r="G49" s="60"/>
      <c r="H49" s="60"/>
    </row>
    <row r="50" spans="1:8" ht="15.75">
      <c r="A50" s="30"/>
      <c r="B50" s="55">
        <f aca="true" t="shared" si="7" ref="B50:H50">+B$30</f>
        <v>43190</v>
      </c>
      <c r="C50" s="55">
        <f t="shared" si="7"/>
        <v>43281</v>
      </c>
      <c r="D50" s="55">
        <f t="shared" si="7"/>
        <v>43373</v>
      </c>
      <c r="E50" s="71">
        <f t="shared" si="7"/>
        <v>43465</v>
      </c>
      <c r="F50" s="55">
        <f t="shared" si="7"/>
        <v>43555</v>
      </c>
      <c r="G50" s="55">
        <f t="shared" si="7"/>
        <v>43646</v>
      </c>
      <c r="H50" s="55">
        <f t="shared" si="7"/>
        <v>43738</v>
      </c>
    </row>
    <row r="51" spans="1:8" ht="15">
      <c r="A51" s="43" t="str">
        <f>HLOOKUP(INDICE!$F$2,Nombres!$C$3:$D$636,66,FALSE)</f>
        <v>Loans and advances to customers (gross) (*)</v>
      </c>
      <c r="B51" s="44">
        <v>176353.83539800002</v>
      </c>
      <c r="C51" s="44">
        <v>178345.044157</v>
      </c>
      <c r="D51" s="44">
        <v>174729.468155</v>
      </c>
      <c r="E51" s="45">
        <v>176016.61492200004</v>
      </c>
      <c r="F51" s="44">
        <v>176148.06087644</v>
      </c>
      <c r="G51" s="44">
        <v>176210.73220848996</v>
      </c>
      <c r="H51" s="44">
        <v>171265.42190411</v>
      </c>
    </row>
    <row r="52" spans="1:8" ht="15">
      <c r="A52" s="43" t="str">
        <f>HLOOKUP(INDICE!$F$2,Nombres!$C$3:$D$636,67,FALSE)</f>
        <v>Customer deposits under management (*)</v>
      </c>
      <c r="B52" s="44">
        <v>172295.36633288</v>
      </c>
      <c r="C52" s="44">
        <v>175712.87605261002</v>
      </c>
      <c r="D52" s="44">
        <v>176964.11939476006</v>
      </c>
      <c r="E52" s="45">
        <v>182984.34073184003</v>
      </c>
      <c r="F52" s="44">
        <v>181283.132865</v>
      </c>
      <c r="G52" s="44">
        <v>180434.106959</v>
      </c>
      <c r="H52" s="44">
        <v>180652.79433099998</v>
      </c>
    </row>
    <row r="53" spans="1:8" ht="15">
      <c r="A53" s="43" t="str">
        <f>HLOOKUP(INDICE!$F$2,Nombres!$C$3:$D$636,68,FALSE)</f>
        <v>Mutual funds</v>
      </c>
      <c r="B53" s="44">
        <v>39210.366807</v>
      </c>
      <c r="C53" s="44">
        <v>40087.368772999995</v>
      </c>
      <c r="D53" s="44">
        <v>40382.64453830001</v>
      </c>
      <c r="E53" s="45">
        <v>39250.23684609999</v>
      </c>
      <c r="F53" s="44">
        <v>40417.414025009995</v>
      </c>
      <c r="G53" s="44">
        <v>40351.9092087</v>
      </c>
      <c r="H53" s="44">
        <v>40518.802457239995</v>
      </c>
    </row>
    <row r="54" spans="1:8" ht="15">
      <c r="A54" s="43" t="str">
        <f>HLOOKUP(INDICE!$F$2,Nombres!$C$3:$D$636,69,FALSE)</f>
        <v>Pension funds</v>
      </c>
      <c r="B54" s="44">
        <v>23808.787791000002</v>
      </c>
      <c r="C54" s="44">
        <v>23757.977336</v>
      </c>
      <c r="D54" s="44">
        <v>23731.989638</v>
      </c>
      <c r="E54" s="45">
        <v>23273.91234805</v>
      </c>
      <c r="F54" s="44">
        <v>23770.324875309998</v>
      </c>
      <c r="G54" s="44">
        <v>23983.14042231</v>
      </c>
      <c r="H54" s="44">
        <v>24209.64256312</v>
      </c>
    </row>
    <row r="55" spans="1:8" ht="15">
      <c r="A55" s="43" t="str">
        <f>HLOOKUP(INDICE!$F$2,Nombres!$C$3:$D$636,70,FALSE)</f>
        <v>Other off balance-sheet funds</v>
      </c>
      <c r="B55" s="44">
        <v>32.544838999999996</v>
      </c>
      <c r="C55" s="44">
        <v>32.382937999999996</v>
      </c>
      <c r="D55" s="44">
        <v>37.365213</v>
      </c>
      <c r="E55" s="45">
        <v>35.177608</v>
      </c>
      <c r="F55" s="44">
        <v>37.313644</v>
      </c>
      <c r="G55" s="44">
        <v>35.147284</v>
      </c>
      <c r="H55" s="44" t="s">
        <v>407</v>
      </c>
    </row>
    <row r="56" spans="1:8" ht="15">
      <c r="A56" s="65" t="str">
        <f>HLOOKUP(INDICE!$F$2,Nombres!$C$3:$D$636,71,FALSE)</f>
        <v>(*) Excluding repos. </v>
      </c>
      <c r="B56" s="60"/>
      <c r="C56" s="60"/>
      <c r="D56" s="60"/>
      <c r="E56" s="60"/>
      <c r="F56" s="60"/>
      <c r="G56" s="60"/>
      <c r="H56" s="60"/>
    </row>
    <row r="57" spans="1:8" ht="15">
      <c r="A57" s="65">
        <f>HLOOKUP(INDICE!$F$2,Nombres!$C$3:$D$636,72,FALSE)</f>
        <v>0</v>
      </c>
      <c r="B57" s="30"/>
      <c r="C57" s="30"/>
      <c r="D57" s="30"/>
      <c r="E57" s="30"/>
      <c r="F57" s="30"/>
      <c r="G57" s="30"/>
      <c r="H57" s="30"/>
    </row>
    <row r="58" spans="1:8" ht="15">
      <c r="A58" s="65"/>
      <c r="B58" s="30"/>
      <c r="C58" s="30"/>
      <c r="D58" s="30"/>
      <c r="E58" s="30"/>
      <c r="F58" s="30"/>
      <c r="G58" s="30"/>
      <c r="H58" s="30"/>
    </row>
    <row r="1000" ht="15">
      <c r="A1000" s="31" t="s">
        <v>406</v>
      </c>
    </row>
  </sheetData>
  <sheetProtection/>
  <mergeCells count="2">
    <mergeCell ref="B6:E6"/>
    <mergeCell ref="F6:H6"/>
  </mergeCells>
  <conditionalFormatting sqref="B26:H26">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HLOOKUP(INDICE!$F$2,Nombres!$C$3:$D$636,10,FALSE)</f>
        <v>USA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524.17569315</v>
      </c>
      <c r="C8" s="41">
        <v>557.3933674299999</v>
      </c>
      <c r="D8" s="41">
        <v>583.36088268</v>
      </c>
      <c r="E8" s="42">
        <v>610.6794377499999</v>
      </c>
      <c r="F8" s="52">
        <v>615.1973128899999</v>
      </c>
      <c r="G8" s="52">
        <v>602.27943125</v>
      </c>
      <c r="H8" s="52">
        <v>595.2909658199999</v>
      </c>
    </row>
    <row r="9" spans="1:8" ht="15">
      <c r="A9" s="43" t="str">
        <f>HLOOKUP(INDICE!$F$2,Nombres!$C$3:$D$636,34,FALSE)</f>
        <v>Net fees and commissions</v>
      </c>
      <c r="B9" s="44">
        <v>147.71453252999999</v>
      </c>
      <c r="C9" s="44">
        <v>154.20529593</v>
      </c>
      <c r="D9" s="44">
        <v>146.53507097</v>
      </c>
      <c r="E9" s="45">
        <v>147.49434357999996</v>
      </c>
      <c r="F9" s="44">
        <v>150.79594061999998</v>
      </c>
      <c r="G9" s="44">
        <v>168.71948865000002</v>
      </c>
      <c r="H9" s="44">
        <v>169.25378866</v>
      </c>
    </row>
    <row r="10" spans="1:8" ht="15">
      <c r="A10" s="43" t="str">
        <f>HLOOKUP(INDICE!$F$2,Nombres!$C$3:$D$636,35,FALSE)</f>
        <v>Net trading income</v>
      </c>
      <c r="B10" s="44">
        <v>24.277979239999997</v>
      </c>
      <c r="C10" s="44">
        <v>24.65794235</v>
      </c>
      <c r="D10" s="44">
        <v>20.382880549999996</v>
      </c>
      <c r="E10" s="45">
        <v>39.3755455</v>
      </c>
      <c r="F10" s="44">
        <v>40.609470869999996</v>
      </c>
      <c r="G10" s="44">
        <v>38.54972442</v>
      </c>
      <c r="H10" s="44">
        <v>59.364840130000005</v>
      </c>
    </row>
    <row r="11" spans="1:8" ht="15">
      <c r="A11" s="43" t="str">
        <f>HLOOKUP(INDICE!$F$2,Nombres!$C$3:$D$636,36,FALSE)</f>
        <v>Other operating income and expenses</v>
      </c>
      <c r="B11" s="44">
        <v>2.5316769999999993</v>
      </c>
      <c r="C11" s="44">
        <v>1.7655839999999983</v>
      </c>
      <c r="D11" s="44">
        <v>-4.501758999999995</v>
      </c>
      <c r="E11" s="45">
        <v>9.1681</v>
      </c>
      <c r="F11" s="44">
        <v>-2.7278229999999994</v>
      </c>
      <c r="G11" s="44">
        <v>1.327381999999998</v>
      </c>
      <c r="H11" s="44">
        <v>3.5764660000000017</v>
      </c>
    </row>
    <row r="12" spans="1:8" ht="15">
      <c r="A12" s="41" t="str">
        <f>HLOOKUP(INDICE!$F$2,Nombres!$C$3:$D$636,37,FALSE)</f>
        <v>Gross income</v>
      </c>
      <c r="B12" s="41">
        <f>+SUM(B8:B11)</f>
        <v>698.6998819199999</v>
      </c>
      <c r="C12" s="41">
        <f aca="true" t="shared" si="0" ref="C12:H12">+SUM(C8:C11)</f>
        <v>738.0221897099999</v>
      </c>
      <c r="D12" s="41">
        <f t="shared" si="0"/>
        <v>745.7770752</v>
      </c>
      <c r="E12" s="42">
        <f t="shared" si="0"/>
        <v>806.7174268299999</v>
      </c>
      <c r="F12" s="52">
        <f t="shared" si="0"/>
        <v>803.87490138</v>
      </c>
      <c r="G12" s="52">
        <f t="shared" si="0"/>
        <v>810.8760263199999</v>
      </c>
      <c r="H12" s="52">
        <f t="shared" si="0"/>
        <v>827.4860606099999</v>
      </c>
    </row>
    <row r="13" spans="1:8" ht="15">
      <c r="A13" s="43" t="str">
        <f>HLOOKUP(INDICE!$F$2,Nombres!$C$3:$D$636,38,FALSE)</f>
        <v>Operating expenses</v>
      </c>
      <c r="B13" s="44">
        <v>-434.4470262599999</v>
      </c>
      <c r="C13" s="44">
        <v>-458.34772046999996</v>
      </c>
      <c r="D13" s="44">
        <v>-478.9261721600001</v>
      </c>
      <c r="E13" s="45">
        <v>-488.87795885</v>
      </c>
      <c r="F13" s="44">
        <v>-472.80969741</v>
      </c>
      <c r="G13" s="44">
        <v>-486.60016633</v>
      </c>
      <c r="H13" s="44">
        <v>-494.25534431</v>
      </c>
    </row>
    <row r="14" spans="1:8" ht="15">
      <c r="A14" s="43" t="str">
        <f>HLOOKUP(INDICE!$F$2,Nombres!$C$3:$D$636,39,FALSE)</f>
        <v>  Administration expenses</v>
      </c>
      <c r="B14" s="44">
        <v>-392.2108172599999</v>
      </c>
      <c r="C14" s="44">
        <v>-414.69672447</v>
      </c>
      <c r="D14" s="44">
        <v>-433.31316816000003</v>
      </c>
      <c r="E14" s="45">
        <v>-442.4759018499999</v>
      </c>
      <c r="F14" s="44">
        <v>-417.42253041</v>
      </c>
      <c r="G14" s="44">
        <v>-431.81317733000003</v>
      </c>
      <c r="H14" s="44">
        <v>-439.51497831</v>
      </c>
    </row>
    <row r="15" spans="1:8" ht="15">
      <c r="A15" s="46" t="str">
        <f>HLOOKUP(INDICE!$F$2,Nombres!$C$3:$D$636,40,FALSE)</f>
        <v>  Personnel expenses</v>
      </c>
      <c r="B15" s="44">
        <v>-251.64323792</v>
      </c>
      <c r="C15" s="44">
        <v>-261.74396528</v>
      </c>
      <c r="D15" s="44">
        <v>-270.68375029</v>
      </c>
      <c r="E15" s="45">
        <v>-266.65654783</v>
      </c>
      <c r="F15" s="44">
        <v>-277.72449278</v>
      </c>
      <c r="G15" s="44">
        <v>-276.52617104</v>
      </c>
      <c r="H15" s="44">
        <v>-285.242517</v>
      </c>
    </row>
    <row r="16" spans="1:8" ht="15">
      <c r="A16" s="46" t="str">
        <f>HLOOKUP(INDICE!$F$2,Nombres!$C$3:$D$636,41,FALSE)</f>
        <v>  General and administrative expenses</v>
      </c>
      <c r="B16" s="44">
        <v>-140.56757933999998</v>
      </c>
      <c r="C16" s="44">
        <v>-152.95275919</v>
      </c>
      <c r="D16" s="44">
        <v>-162.62941787000003</v>
      </c>
      <c r="E16" s="45">
        <v>-175.81935402000002</v>
      </c>
      <c r="F16" s="44">
        <v>-139.69803762999996</v>
      </c>
      <c r="G16" s="44">
        <v>-155.28700628999997</v>
      </c>
      <c r="H16" s="44">
        <v>-154.27246131000004</v>
      </c>
    </row>
    <row r="17" spans="1:8" ht="15">
      <c r="A17" s="43" t="str">
        <f>HLOOKUP(INDICE!$F$2,Nombres!$C$3:$D$636,42,FALSE)</f>
        <v>  Depreciation</v>
      </c>
      <c r="B17" s="44">
        <v>-42.236208999999995</v>
      </c>
      <c r="C17" s="44">
        <v>-43.650996</v>
      </c>
      <c r="D17" s="44">
        <v>-45.613004000000004</v>
      </c>
      <c r="E17" s="45">
        <v>-46.402057</v>
      </c>
      <c r="F17" s="44">
        <v>-55.38716699999999</v>
      </c>
      <c r="G17" s="44">
        <v>-54.786989000000005</v>
      </c>
      <c r="H17" s="44">
        <v>-54.740366</v>
      </c>
    </row>
    <row r="18" spans="1:8" ht="15">
      <c r="A18" s="41" t="str">
        <f>HLOOKUP(INDICE!$F$2,Nombres!$C$3:$D$636,43,FALSE)</f>
        <v>Operating income</v>
      </c>
      <c r="B18" s="41">
        <f>+B12+B13</f>
        <v>264.25285566</v>
      </c>
      <c r="C18" s="41">
        <f aca="true" t="shared" si="1" ref="C18:H18">+C12+C13</f>
        <v>279.67446923999995</v>
      </c>
      <c r="D18" s="41">
        <f t="shared" si="1"/>
        <v>266.85090303999993</v>
      </c>
      <c r="E18" s="42">
        <f t="shared" si="1"/>
        <v>317.8394679799999</v>
      </c>
      <c r="F18" s="52">
        <f t="shared" si="1"/>
        <v>331.06520396999997</v>
      </c>
      <c r="G18" s="52">
        <f t="shared" si="1"/>
        <v>324.27585998999996</v>
      </c>
      <c r="H18" s="52">
        <f t="shared" si="1"/>
        <v>333.23071629999987</v>
      </c>
    </row>
    <row r="19" spans="1:8" ht="15">
      <c r="A19" s="43" t="str">
        <f>HLOOKUP(INDICE!$F$2,Nombres!$C$3:$D$636,44,FALSE)</f>
        <v>Impaiment on financial assets not measured at fair value through profit or loss</v>
      </c>
      <c r="B19" s="44">
        <v>-20.29801300000001</v>
      </c>
      <c r="C19" s="44">
        <v>-42.50583008999999</v>
      </c>
      <c r="D19" s="44">
        <v>-74.91903600000005</v>
      </c>
      <c r="E19" s="45">
        <v>-86.916118</v>
      </c>
      <c r="F19" s="44">
        <v>-161.50649299999998</v>
      </c>
      <c r="G19" s="44">
        <v>-124.77478</v>
      </c>
      <c r="H19" s="44">
        <v>-119.42335299999996</v>
      </c>
    </row>
    <row r="20" spans="1:8" ht="15">
      <c r="A20" s="43" t="str">
        <f>HLOOKUP(INDICE!$F$2,Nombres!$C$3:$D$636,45,FALSE)</f>
        <v>Provisions or reversal of provisions and other results</v>
      </c>
      <c r="B20" s="44">
        <v>7.9424909999999995</v>
      </c>
      <c r="C20" s="44">
        <v>3.7300674899999984</v>
      </c>
      <c r="D20" s="44">
        <v>1.836105</v>
      </c>
      <c r="E20" s="45">
        <v>2.664009000000002</v>
      </c>
      <c r="F20" s="44">
        <v>-9.781892</v>
      </c>
      <c r="G20" s="44">
        <v>4.021742999999999</v>
      </c>
      <c r="H20" s="44">
        <v>10.582921</v>
      </c>
    </row>
    <row r="21" spans="1:8" ht="15">
      <c r="A21" s="41" t="str">
        <f>HLOOKUP(INDICE!$F$2,Nombres!$C$3:$D$636,46,FALSE)</f>
        <v>Profit/(loss) before tax</v>
      </c>
      <c r="B21" s="41">
        <f>+B18+B19+B20</f>
        <v>251.89733366</v>
      </c>
      <c r="C21" s="41">
        <f aca="true" t="shared" si="2" ref="C21:H21">+C18+C19+C20</f>
        <v>240.89870663999997</v>
      </c>
      <c r="D21" s="41">
        <f t="shared" si="2"/>
        <v>193.76797203999988</v>
      </c>
      <c r="E21" s="42">
        <f t="shared" si="2"/>
        <v>233.5873589799999</v>
      </c>
      <c r="F21" s="52">
        <f t="shared" si="2"/>
        <v>159.77681897</v>
      </c>
      <c r="G21" s="52">
        <f t="shared" si="2"/>
        <v>203.52282298999992</v>
      </c>
      <c r="H21" s="52">
        <f t="shared" si="2"/>
        <v>224.3902842999999</v>
      </c>
    </row>
    <row r="22" spans="1:8" ht="15">
      <c r="A22" s="43" t="str">
        <f>HLOOKUP(INDICE!$F$2,Nombres!$C$3:$D$636,47,FALSE)</f>
        <v>Income tax</v>
      </c>
      <c r="B22" s="44">
        <v>-56.315293450000006</v>
      </c>
      <c r="C22" s="44">
        <v>-51.75085195</v>
      </c>
      <c r="D22" s="44">
        <v>-36.94007723</v>
      </c>
      <c r="E22" s="45">
        <v>-39.542066829999996</v>
      </c>
      <c r="F22" s="44">
        <v>-32.33071703</v>
      </c>
      <c r="G22" s="44">
        <v>-34.269060780000004</v>
      </c>
      <c r="H22" s="44">
        <v>-43.280891800000006</v>
      </c>
    </row>
    <row r="23" spans="1:8" ht="15">
      <c r="A23" s="41" t="str">
        <f>HLOOKUP(INDICE!$F$2,Nombres!$C$3:$D$636,48,FALSE)</f>
        <v>Profit/(loss) for the year</v>
      </c>
      <c r="B23" s="41">
        <f>+B21+B22</f>
        <v>195.58204020999997</v>
      </c>
      <c r="C23" s="41">
        <f aca="true" t="shared" si="3" ref="C23:H23">+C21+C22</f>
        <v>189.14785468999997</v>
      </c>
      <c r="D23" s="41">
        <f t="shared" si="3"/>
        <v>156.82789480999986</v>
      </c>
      <c r="E23" s="42">
        <f t="shared" si="3"/>
        <v>194.0452921499999</v>
      </c>
      <c r="F23" s="52">
        <f t="shared" si="3"/>
        <v>127.44610193999999</v>
      </c>
      <c r="G23" s="52">
        <f t="shared" si="3"/>
        <v>169.25376220999993</v>
      </c>
      <c r="H23" s="52">
        <f t="shared" si="3"/>
        <v>181.1093924999999</v>
      </c>
    </row>
    <row r="24" spans="1:8" ht="15">
      <c r="A24" s="43" t="str">
        <f>HLOOKUP(INDICE!$F$2,Nombres!$C$3:$D$636,49,FALSE)</f>
        <v>Non-controlling interests</v>
      </c>
      <c r="B24" s="44" t="s">
        <v>407</v>
      </c>
      <c r="C24" s="44" t="s">
        <v>407</v>
      </c>
      <c r="D24" s="44" t="s">
        <v>407</v>
      </c>
      <c r="E24" s="45" t="s">
        <v>407</v>
      </c>
      <c r="F24" s="44" t="s">
        <v>407</v>
      </c>
      <c r="G24" s="44" t="s">
        <v>407</v>
      </c>
      <c r="H24" s="44" t="s">
        <v>407</v>
      </c>
    </row>
    <row r="25" spans="1:8" ht="15">
      <c r="A25" s="47" t="str">
        <f>HLOOKUP(INDICE!$F$2,Nombres!$C$3:$D$636,50,FALSE)</f>
        <v>Net attributable profit</v>
      </c>
      <c r="B25" s="47">
        <f>+B23+B24</f>
        <v>195.58204020999997</v>
      </c>
      <c r="C25" s="47">
        <f aca="true" t="shared" si="4" ref="C25:H25">+C23+C24</f>
        <v>189.14785468999997</v>
      </c>
      <c r="D25" s="47">
        <f t="shared" si="4"/>
        <v>156.82789480999986</v>
      </c>
      <c r="E25" s="47">
        <f t="shared" si="4"/>
        <v>194.0452921499999</v>
      </c>
      <c r="F25" s="53">
        <f t="shared" si="4"/>
        <v>127.44610193999999</v>
      </c>
      <c r="G25" s="53">
        <f t="shared" si="4"/>
        <v>169.25376220999993</v>
      </c>
      <c r="H25" s="53">
        <f t="shared" si="4"/>
        <v>181.1093924999999</v>
      </c>
    </row>
    <row r="26" spans="1:8" ht="15">
      <c r="A26" s="65"/>
      <c r="B26" s="66">
        <v>0</v>
      </c>
      <c r="C26" s="66">
        <v>0</v>
      </c>
      <c r="D26" s="66">
        <v>0</v>
      </c>
      <c r="E26" s="66">
        <v>0</v>
      </c>
      <c r="F26" s="66">
        <v>0</v>
      </c>
      <c r="G26" s="66">
        <v>0</v>
      </c>
      <c r="H26" s="66">
        <v>0</v>
      </c>
    </row>
    <row r="27" spans="1:8" ht="15">
      <c r="A27" s="41"/>
      <c r="B27" s="41"/>
      <c r="C27" s="41"/>
      <c r="D27" s="41"/>
      <c r="E27" s="41"/>
      <c r="F27" s="52"/>
      <c r="G27" s="52"/>
      <c r="H27" s="52"/>
    </row>
    <row r="28" spans="1:8" ht="18">
      <c r="A28" s="33" t="str">
        <f>HLOOKUP(INDICE!$F$2,Nombres!$C$3:$D$636,51,FALSE)</f>
        <v>Balance sheets</v>
      </c>
      <c r="B28" s="34"/>
      <c r="C28" s="34"/>
      <c r="D28" s="34"/>
      <c r="E28" s="34"/>
      <c r="F28" s="72"/>
      <c r="G28" s="72"/>
      <c r="H28" s="72"/>
    </row>
    <row r="29" spans="1:8" ht="15">
      <c r="A29" s="35" t="str">
        <f>HLOOKUP(INDICE!$F$2,Nombres!$C$3:$D$636,32,FALSE)</f>
        <v>(Million euros)</v>
      </c>
      <c r="B29" s="30"/>
      <c r="C29" s="54"/>
      <c r="D29" s="54"/>
      <c r="E29" s="54"/>
      <c r="F29" s="73"/>
      <c r="G29" s="44"/>
      <c r="H29" s="44"/>
    </row>
    <row r="30" spans="1:8" ht="15.75">
      <c r="A30" s="30"/>
      <c r="B30" s="55">
        <f>+España!B30</f>
        <v>43190</v>
      </c>
      <c r="C30" s="55">
        <f>+España!C30</f>
        <v>43281</v>
      </c>
      <c r="D30" s="55">
        <f>+España!D30</f>
        <v>43373</v>
      </c>
      <c r="E30" s="71">
        <f>+España!E30</f>
        <v>43465</v>
      </c>
      <c r="F30" s="55">
        <f>+España!F30</f>
        <v>43555</v>
      </c>
      <c r="G30" s="55">
        <f>+España!G30</f>
        <v>43646</v>
      </c>
      <c r="H30" s="55">
        <f>+España!H30</f>
        <v>43738</v>
      </c>
    </row>
    <row r="31" spans="1:8" ht="15">
      <c r="A31" s="43" t="str">
        <f>HLOOKUP(INDICE!$F$2,Nombres!$C$3:$D$636,52,FALSE)</f>
        <v>Cash, cash balances at central banks and other demand deposits</v>
      </c>
      <c r="B31" s="44">
        <v>4913.104815</v>
      </c>
      <c r="C31" s="44">
        <v>4654.754126</v>
      </c>
      <c r="D31" s="44">
        <v>4388.51383</v>
      </c>
      <c r="E31" s="45">
        <v>4835.109563</v>
      </c>
      <c r="F31" s="44">
        <v>6549.723644000001</v>
      </c>
      <c r="G31" s="44">
        <v>7503.85475</v>
      </c>
      <c r="H31" s="44">
        <v>7665.81225</v>
      </c>
    </row>
    <row r="32" spans="1:8" ht="15">
      <c r="A32" s="43" t="str">
        <f>HLOOKUP(INDICE!$F$2,Nombres!$C$3:$D$636,53,FALSE)</f>
        <v>Financial assets designated at fair value </v>
      </c>
      <c r="B32" s="60">
        <v>10011.799548999998</v>
      </c>
      <c r="C32" s="60">
        <v>10633.217852000002</v>
      </c>
      <c r="D32" s="60">
        <v>10524.627112000002</v>
      </c>
      <c r="E32" s="68">
        <v>10480.547508</v>
      </c>
      <c r="F32" s="44">
        <v>9329.626928</v>
      </c>
      <c r="G32" s="44">
        <v>10282.643888999999</v>
      </c>
      <c r="H32" s="44">
        <v>8345.792112</v>
      </c>
    </row>
    <row r="33" spans="1:8" ht="15">
      <c r="A33" s="43" t="str">
        <f>HLOOKUP(INDICE!$F$2,Nombres!$C$3:$D$636,54,FALSE)</f>
        <v>Financial assets at amortized cost</v>
      </c>
      <c r="B33" s="44">
        <v>54464.39963</v>
      </c>
      <c r="C33" s="44">
        <v>58969.112847</v>
      </c>
      <c r="D33" s="44">
        <v>60939.669386</v>
      </c>
      <c r="E33" s="45">
        <v>63539.366491999994</v>
      </c>
      <c r="F33" s="44">
        <v>65628.63080500001</v>
      </c>
      <c r="G33" s="44">
        <v>64839.438896</v>
      </c>
      <c r="H33" s="44">
        <v>69342.737065</v>
      </c>
    </row>
    <row r="34" spans="1:8" ht="15">
      <c r="A34" s="43" t="str">
        <f>HLOOKUP(INDICE!$F$2,Nombres!$C$3:$D$636,55,FALSE)</f>
        <v>    of which loans and advances to customers</v>
      </c>
      <c r="B34" s="44">
        <v>52721.293034</v>
      </c>
      <c r="C34" s="44">
        <v>56974.51684</v>
      </c>
      <c r="D34" s="44">
        <v>58608.31174999999</v>
      </c>
      <c r="E34" s="45">
        <v>60808.291326</v>
      </c>
      <c r="F34" s="44">
        <v>61403.01856900001</v>
      </c>
      <c r="G34" s="44">
        <v>60130.06433</v>
      </c>
      <c r="H34" s="44">
        <v>63209.64667999999</v>
      </c>
    </row>
    <row r="35" spans="1:8" ht="15">
      <c r="A35" s="43" t="str">
        <f>HLOOKUP(INDICE!$F$2,Nombres!$C$3:$D$636,121,FALSE)</f>
        <v>Inter-area positions</v>
      </c>
      <c r="B35" s="44">
        <v>0</v>
      </c>
      <c r="C35" s="44">
        <v>0</v>
      </c>
      <c r="D35" s="44">
        <v>0</v>
      </c>
      <c r="E35" s="45">
        <v>0</v>
      </c>
      <c r="F35" s="44">
        <v>0</v>
      </c>
      <c r="G35" s="44">
        <v>0</v>
      </c>
      <c r="H35" s="44">
        <v>0</v>
      </c>
    </row>
    <row r="36" spans="1:8" ht="15">
      <c r="A36" s="43" t="str">
        <f>HLOOKUP(INDICE!$F$2,Nombres!$C$3:$D$636,56,FALSE)</f>
        <v>Tangible assets</v>
      </c>
      <c r="B36" s="60">
        <v>633.4098689999998</v>
      </c>
      <c r="C36" s="60">
        <v>661.273016</v>
      </c>
      <c r="D36" s="60">
        <v>662.127447</v>
      </c>
      <c r="E36" s="68">
        <v>668.4869769999999</v>
      </c>
      <c r="F36" s="44">
        <v>952.3401060000001</v>
      </c>
      <c r="G36" s="44">
        <v>925.1526389999999</v>
      </c>
      <c r="H36" s="44">
        <v>951.461749</v>
      </c>
    </row>
    <row r="37" spans="1:8" ht="15">
      <c r="A37" s="43" t="str">
        <f>HLOOKUP(INDICE!$F$2,Nombres!$C$3:$D$636,57,FALSE)</f>
        <v>Other assets</v>
      </c>
      <c r="B37" s="60">
        <f>+B38-B36-B33-B32-B31-B35</f>
        <v>2275.7886150000168</v>
      </c>
      <c r="C37" s="60">
        <f aca="true" t="shared" si="5" ref="C37:H37">+C38-C36-C33-C32-C31-C35</f>
        <v>2252.3469690000056</v>
      </c>
      <c r="D37" s="60">
        <f t="shared" si="5"/>
        <v>2383.3288110000176</v>
      </c>
      <c r="E37" s="68">
        <f t="shared" si="5"/>
        <v>2533.8103340000107</v>
      </c>
      <c r="F37" s="44">
        <f t="shared" si="5"/>
        <v>2699.633473999983</v>
      </c>
      <c r="G37" s="44">
        <f t="shared" si="5"/>
        <v>2677.520636999985</v>
      </c>
      <c r="H37" s="44">
        <f t="shared" si="5"/>
        <v>2424.5560969999924</v>
      </c>
    </row>
    <row r="38" spans="1:8" ht="15">
      <c r="A38" s="47" t="str">
        <f>HLOOKUP(INDICE!$F$2,Nombres!$C$3:$D$636,58,FALSE)</f>
        <v>Total assets / Liabilities and equity</v>
      </c>
      <c r="B38" s="47">
        <v>72298.50247800001</v>
      </c>
      <c r="C38" s="47">
        <v>77170.70481000001</v>
      </c>
      <c r="D38" s="47">
        <v>78898.26658600003</v>
      </c>
      <c r="E38" s="74">
        <v>82057.320874</v>
      </c>
      <c r="F38" s="47">
        <v>85159.954957</v>
      </c>
      <c r="G38" s="53">
        <v>86228.61081099999</v>
      </c>
      <c r="H38" s="53">
        <v>88730.35927299998</v>
      </c>
    </row>
    <row r="39" spans="1:8" ht="15">
      <c r="A39" s="43" t="str">
        <f>HLOOKUP(INDICE!$F$2,Nombres!$C$3:$D$636,59,FALSE)</f>
        <v>Financial liabilities held for trading and designated at fair value through profit or loss</v>
      </c>
      <c r="B39" s="60">
        <v>171.94</v>
      </c>
      <c r="C39" s="60">
        <v>388.898129</v>
      </c>
      <c r="D39" s="60">
        <v>305.44399999999996</v>
      </c>
      <c r="E39" s="68">
        <v>234.32691499999999</v>
      </c>
      <c r="F39" s="44">
        <v>304.623727</v>
      </c>
      <c r="G39" s="44">
        <v>1475.1058730000002</v>
      </c>
      <c r="H39" s="44">
        <v>248.74800000000002</v>
      </c>
    </row>
    <row r="40" spans="1:8" ht="15">
      <c r="A40" s="43" t="str">
        <f>HLOOKUP(INDICE!$F$2,Nombres!$C$3:$D$636,60,FALSE)</f>
        <v>Deposits from central banks and credit institutions</v>
      </c>
      <c r="B40" s="60">
        <v>3064.27894</v>
      </c>
      <c r="C40" s="60">
        <v>3119.2975829999996</v>
      </c>
      <c r="D40" s="60">
        <v>4477.098157</v>
      </c>
      <c r="E40" s="68">
        <v>3370.15899</v>
      </c>
      <c r="F40" s="44">
        <v>4709.882608</v>
      </c>
      <c r="G40" s="44">
        <v>4568.347727</v>
      </c>
      <c r="H40" s="44">
        <v>4049.365527</v>
      </c>
    </row>
    <row r="41" spans="1:8" ht="15.75" customHeight="1">
      <c r="A41" s="43" t="str">
        <f>HLOOKUP(INDICE!$F$2,Nombres!$C$3:$D$636,61,FALSE)</f>
        <v>Deposits from customers</v>
      </c>
      <c r="B41" s="60">
        <v>58431.00176300001</v>
      </c>
      <c r="C41" s="60">
        <v>60704.154181</v>
      </c>
      <c r="D41" s="60">
        <v>60916.716243</v>
      </c>
      <c r="E41" s="68">
        <v>63890.973014</v>
      </c>
      <c r="F41" s="44">
        <v>65165.462725000005</v>
      </c>
      <c r="G41" s="44">
        <v>63122.07449200001</v>
      </c>
      <c r="H41" s="44">
        <v>67375.940979</v>
      </c>
    </row>
    <row r="42" spans="1:8" ht="15">
      <c r="A42" s="43" t="str">
        <f>HLOOKUP(INDICE!$F$2,Nombres!$C$3:$D$636,62,FALSE)</f>
        <v>Debt certificates</v>
      </c>
      <c r="B42" s="44">
        <v>1940.2749455900002</v>
      </c>
      <c r="C42" s="44">
        <v>3227.3647300200005</v>
      </c>
      <c r="D42" s="44">
        <v>3227.4259941699997</v>
      </c>
      <c r="E42" s="45">
        <v>3599.14559916</v>
      </c>
      <c r="F42" s="44">
        <v>3364.03909384</v>
      </c>
      <c r="G42" s="44">
        <v>3382.2038005699997</v>
      </c>
      <c r="H42" s="44">
        <v>3710.3406013599997</v>
      </c>
    </row>
    <row r="43" spans="1:8" ht="15">
      <c r="A43" s="43" t="str">
        <f>HLOOKUP(INDICE!$F$2,Nombres!$C$3:$D$636,122,FALSE)</f>
        <v>Inter-area positions</v>
      </c>
      <c r="B43" s="44">
        <v>531.4308391200029</v>
      </c>
      <c r="C43" s="44">
        <v>1271.4756564900163</v>
      </c>
      <c r="D43" s="44">
        <v>1207.4505175400263</v>
      </c>
      <c r="E43" s="45">
        <v>1926.4618945900002</v>
      </c>
      <c r="F43" s="44">
        <v>1736.5482047700061</v>
      </c>
      <c r="G43" s="44">
        <v>3757.2192490299785</v>
      </c>
      <c r="H43" s="44">
        <v>3023.7998563499714</v>
      </c>
    </row>
    <row r="44" spans="1:8" ht="15">
      <c r="A44" s="43" t="str">
        <f>HLOOKUP(INDICE!$F$2,Nombres!$C$3:$D$636,63,FALSE)</f>
        <v>Other liabilities</v>
      </c>
      <c r="B44" s="44">
        <f>+B38-B39-B40-B41-B42-B45-B43</f>
        <v>5243.486610289994</v>
      </c>
      <c r="C44" s="44">
        <f aca="true" t="shared" si="6" ref="C44:H44">+C38-C39-C40-C41-C42-C45-C43</f>
        <v>5227.253010489992</v>
      </c>
      <c r="D44" s="44">
        <f t="shared" si="6"/>
        <v>5334.1320433099945</v>
      </c>
      <c r="E44" s="45">
        <f t="shared" si="6"/>
        <v>5653.531376630002</v>
      </c>
      <c r="F44" s="44">
        <f t="shared" si="6"/>
        <v>6197.809958389984</v>
      </c>
      <c r="G44" s="44">
        <f t="shared" si="6"/>
        <v>6231.893479400012</v>
      </c>
      <c r="H44" s="44">
        <f t="shared" si="6"/>
        <v>6654.258413639995</v>
      </c>
    </row>
    <row r="45" spans="1:8" ht="15">
      <c r="A45" s="43" t="str">
        <f>HLOOKUP(INDICE!$F$2,Nombres!$C$3:$D$636,64,FALSE)</f>
        <v>Economic capital allocated</v>
      </c>
      <c r="B45" s="44">
        <v>2916.089379999998</v>
      </c>
      <c r="C45" s="44">
        <v>3232.2615200000014</v>
      </c>
      <c r="D45" s="44">
        <v>3429.99963098</v>
      </c>
      <c r="E45" s="45">
        <v>3382.723084619998</v>
      </c>
      <c r="F45" s="44">
        <v>3681.5886400000018</v>
      </c>
      <c r="G45" s="44">
        <v>3691.7661900000007</v>
      </c>
      <c r="H45" s="44">
        <v>3667.9058956499994</v>
      </c>
    </row>
    <row r="46" spans="1:8" ht="15">
      <c r="A46" s="65"/>
      <c r="B46" s="60"/>
      <c r="C46" s="60"/>
      <c r="D46" s="60"/>
      <c r="E46" s="60"/>
      <c r="F46" s="44"/>
      <c r="G46" s="44"/>
      <c r="H46" s="44"/>
    </row>
    <row r="47" spans="1:8" ht="15">
      <c r="A47" s="43"/>
      <c r="B47" s="60"/>
      <c r="C47" s="60"/>
      <c r="D47" s="60"/>
      <c r="E47" s="60"/>
      <c r="F47" s="44"/>
      <c r="G47" s="44"/>
      <c r="H47" s="44"/>
    </row>
    <row r="48" spans="1:8" ht="18">
      <c r="A48" s="69" t="str">
        <f>HLOOKUP(INDICE!$F$2,Nombres!$C$3:$D$636,65,FALSE)</f>
        <v>Relevant business indicators</v>
      </c>
      <c r="B48" s="70"/>
      <c r="C48" s="70"/>
      <c r="D48" s="70"/>
      <c r="E48" s="70"/>
      <c r="F48" s="75"/>
      <c r="G48" s="75"/>
      <c r="H48" s="75"/>
    </row>
    <row r="49" spans="1:8" ht="15">
      <c r="A49" s="35" t="str">
        <f>HLOOKUP(INDICE!$F$2,Nombres!$C$3:$D$636,32,FALSE)</f>
        <v>(Million euros)</v>
      </c>
      <c r="B49" s="30"/>
      <c r="C49" s="30"/>
      <c r="D49" s="30"/>
      <c r="E49" s="30"/>
      <c r="F49" s="73"/>
      <c r="G49" s="44"/>
      <c r="H49" s="44"/>
    </row>
    <row r="50" spans="1:8" ht="15.75">
      <c r="A50" s="30"/>
      <c r="B50" s="55">
        <f aca="true" t="shared" si="7" ref="B50:H50">+B$30</f>
        <v>43190</v>
      </c>
      <c r="C50" s="55">
        <f t="shared" si="7"/>
        <v>43281</v>
      </c>
      <c r="D50" s="55">
        <f t="shared" si="7"/>
        <v>43373</v>
      </c>
      <c r="E50" s="71">
        <f t="shared" si="7"/>
        <v>43465</v>
      </c>
      <c r="F50" s="55">
        <f t="shared" si="7"/>
        <v>43555</v>
      </c>
      <c r="G50" s="55">
        <f t="shared" si="7"/>
        <v>43646</v>
      </c>
      <c r="H50" s="55">
        <f t="shared" si="7"/>
        <v>43738</v>
      </c>
    </row>
    <row r="51" spans="1:8" ht="15">
      <c r="A51" s="43" t="str">
        <f>HLOOKUP(INDICE!$F$2,Nombres!$C$3:$D$636,66,FALSE)</f>
        <v>Loans and advances to customers (gross) (*)</v>
      </c>
      <c r="B51" s="44">
        <v>53437.597556839995</v>
      </c>
      <c r="C51" s="44">
        <v>57443.549734270004</v>
      </c>
      <c r="D51" s="44">
        <v>59326.59801140999</v>
      </c>
      <c r="E51" s="45">
        <v>61516.28929277999</v>
      </c>
      <c r="F51" s="44">
        <v>62194.491205410006</v>
      </c>
      <c r="G51" s="44">
        <v>60903.64142094</v>
      </c>
      <c r="H51" s="44">
        <v>63969.84582371</v>
      </c>
    </row>
    <row r="52" spans="1:8" ht="15">
      <c r="A52" s="43" t="str">
        <f>HLOOKUP(INDICE!$F$2,Nombres!$C$3:$D$636,67,FALSE)</f>
        <v>Customer deposits under management (*)</v>
      </c>
      <c r="B52" s="44">
        <v>58522.31785136</v>
      </c>
      <c r="C52" s="44">
        <v>60809.86481057</v>
      </c>
      <c r="D52" s="44">
        <v>60913.40259127999</v>
      </c>
      <c r="E52" s="45">
        <v>63888.04688835</v>
      </c>
      <c r="F52" s="44">
        <v>65163.15654774</v>
      </c>
      <c r="G52" s="44">
        <v>63119.75090808001</v>
      </c>
      <c r="H52" s="44">
        <v>67373.56720903</v>
      </c>
    </row>
    <row r="53" spans="1:8" ht="15">
      <c r="A53" s="43" t="str">
        <f>HLOOKUP(INDICE!$F$2,Nombres!$C$3:$D$636,68,FALSE)</f>
        <v>Mutual funds</v>
      </c>
      <c r="B53" s="44" t="s">
        <v>407</v>
      </c>
      <c r="C53" s="44" t="s">
        <v>407</v>
      </c>
      <c r="D53" s="44" t="s">
        <v>407</v>
      </c>
      <c r="E53" s="45" t="s">
        <v>407</v>
      </c>
      <c r="F53" s="44" t="s">
        <v>407</v>
      </c>
      <c r="G53" s="44" t="s">
        <v>407</v>
      </c>
      <c r="H53" s="44" t="s">
        <v>407</v>
      </c>
    </row>
    <row r="54" spans="1:8" ht="15">
      <c r="A54" s="43" t="str">
        <f>HLOOKUP(INDICE!$F$2,Nombres!$C$3:$D$636,69,FALSE)</f>
        <v>Pension funds</v>
      </c>
      <c r="B54" s="44" t="s">
        <v>407</v>
      </c>
      <c r="C54" s="44" t="s">
        <v>407</v>
      </c>
      <c r="D54" s="44" t="s">
        <v>407</v>
      </c>
      <c r="E54" s="45" t="s">
        <v>407</v>
      </c>
      <c r="F54" s="44" t="s">
        <v>407</v>
      </c>
      <c r="G54" s="44" t="s">
        <v>407</v>
      </c>
      <c r="H54" s="44" t="s">
        <v>407</v>
      </c>
    </row>
    <row r="55" spans="1:8" ht="15">
      <c r="A55" s="43" t="str">
        <f>HLOOKUP(INDICE!$F$2,Nombres!$C$3:$D$636,70,FALSE)</f>
        <v>Other off balance-sheet funds</v>
      </c>
      <c r="B55" s="44" t="s">
        <v>407</v>
      </c>
      <c r="C55" s="44" t="s">
        <v>407</v>
      </c>
      <c r="D55" s="44" t="s">
        <v>407</v>
      </c>
      <c r="E55" s="45" t="s">
        <v>407</v>
      </c>
      <c r="F55" s="44" t="s">
        <v>407</v>
      </c>
      <c r="G55" s="44" t="s">
        <v>407</v>
      </c>
      <c r="H55" s="44" t="s">
        <v>407</v>
      </c>
    </row>
    <row r="56" spans="1:8" ht="15">
      <c r="A56" s="65" t="str">
        <f>HLOOKUP(INDICE!$F$2,Nombres!$C$3:$D$636,71,FALSE)</f>
        <v>(*) Excluding repos. </v>
      </c>
      <c r="B56" s="60"/>
      <c r="C56" s="60"/>
      <c r="D56" s="60"/>
      <c r="E56" s="60"/>
      <c r="F56" s="60"/>
      <c r="G56" s="60"/>
      <c r="H56" s="60"/>
    </row>
    <row r="57" spans="1:8" ht="15">
      <c r="A57" s="65">
        <f>HLOOKUP(INDICE!$F$2,Nombres!$C$3:$D$636,72,FALSE)</f>
        <v>0</v>
      </c>
      <c r="B57" s="30"/>
      <c r="C57" s="30"/>
      <c r="D57" s="30"/>
      <c r="E57" s="30"/>
      <c r="F57" s="30"/>
      <c r="G57" s="30"/>
      <c r="H57" s="30"/>
    </row>
    <row r="58" spans="1:8" ht="15">
      <c r="A58" s="65"/>
      <c r="B58" s="30"/>
      <c r="C58" s="30"/>
      <c r="D58" s="30"/>
      <c r="E58" s="30"/>
      <c r="F58" s="30"/>
      <c r="G58" s="30"/>
      <c r="H58" s="30"/>
    </row>
    <row r="59" spans="1:8" ht="18">
      <c r="A59" s="33" t="str">
        <f>HLOOKUP(INDICE!$F$2,Nombres!$C$3:$D$636,31,FALSE)</f>
        <v>Income statement  </v>
      </c>
      <c r="B59" s="34"/>
      <c r="C59" s="34"/>
      <c r="D59" s="34"/>
      <c r="E59" s="34"/>
      <c r="F59" s="34"/>
      <c r="G59" s="34"/>
      <c r="H59" s="34"/>
    </row>
    <row r="60" spans="1:8" ht="15">
      <c r="A60" s="35" t="str">
        <f>HLOOKUP(INDICE!$F$2,Nombres!$C$3:$D$636,73,FALSE)</f>
        <v>(Constant million euros)    </v>
      </c>
      <c r="B60" s="30"/>
      <c r="C60" s="36"/>
      <c r="D60" s="36"/>
      <c r="E60" s="36"/>
      <c r="F60" s="30"/>
      <c r="G60" s="30"/>
      <c r="H60" s="30"/>
    </row>
    <row r="61" spans="1:8" ht="15">
      <c r="A61" s="37"/>
      <c r="B61" s="30"/>
      <c r="C61" s="36"/>
      <c r="D61" s="36"/>
      <c r="E61" s="36"/>
      <c r="F61" s="30"/>
      <c r="G61" s="30"/>
      <c r="H61" s="30"/>
    </row>
    <row r="62" spans="1:8" ht="15.75">
      <c r="A62" s="38"/>
      <c r="B62" s="288">
        <f>+B$6</f>
        <v>2018</v>
      </c>
      <c r="C62" s="288"/>
      <c r="D62" s="288"/>
      <c r="E62" s="289"/>
      <c r="F62" s="292">
        <f>+F$6</f>
        <v>2019</v>
      </c>
      <c r="G62" s="288"/>
      <c r="H62" s="288"/>
    </row>
    <row r="63" spans="1:8" ht="15.75">
      <c r="A63" s="38"/>
      <c r="B63" s="39" t="str">
        <f>+B$7</f>
        <v>1Q</v>
      </c>
      <c r="C63" s="39" t="str">
        <f aca="true" t="shared" si="8" ref="C63:H63">+C$7</f>
        <v>2Q</v>
      </c>
      <c r="D63" s="39" t="str">
        <f t="shared" si="8"/>
        <v>3Q</v>
      </c>
      <c r="E63" s="40" t="str">
        <f t="shared" si="8"/>
        <v>4Q</v>
      </c>
      <c r="F63" s="39" t="str">
        <f t="shared" si="8"/>
        <v>1Q</v>
      </c>
      <c r="G63" s="39" t="str">
        <f t="shared" si="8"/>
        <v>2Q</v>
      </c>
      <c r="H63" s="39" t="str">
        <f t="shared" si="8"/>
        <v>3Q</v>
      </c>
    </row>
    <row r="64" spans="1:8" ht="15">
      <c r="A64" s="41" t="str">
        <f>HLOOKUP(INDICE!$F$2,Nombres!$C$3:$D$636,33,FALSE)</f>
        <v>Net interest income</v>
      </c>
      <c r="B64" s="41">
        <v>573.8635570064575</v>
      </c>
      <c r="C64" s="41">
        <v>591.181860726479</v>
      </c>
      <c r="D64" s="41">
        <v>604.7584685800385</v>
      </c>
      <c r="E64" s="42">
        <v>622.0185943771359</v>
      </c>
      <c r="F64" s="52">
        <v>622.1249646346894</v>
      </c>
      <c r="G64" s="52">
        <v>603.0822448338658</v>
      </c>
      <c r="H64" s="52">
        <v>587.5605004914446</v>
      </c>
    </row>
    <row r="65" spans="1:8" ht="15">
      <c r="A65" s="43" t="str">
        <f>HLOOKUP(INDICE!$F$2,Nombres!$C$3:$D$636,34,FALSE)</f>
        <v>Net fees and commissions</v>
      </c>
      <c r="B65" s="44">
        <v>161.9028722223209</v>
      </c>
      <c r="C65" s="44">
        <v>163.24815770357588</v>
      </c>
      <c r="D65" s="44">
        <v>151.5534611147906</v>
      </c>
      <c r="E65" s="45">
        <v>149.68728340201577</v>
      </c>
      <c r="F65" s="44">
        <v>152.54412000507878</v>
      </c>
      <c r="G65" s="44">
        <v>169.17001458690243</v>
      </c>
      <c r="H65" s="44">
        <v>167.05508333801876</v>
      </c>
    </row>
    <row r="66" spans="1:8" ht="15">
      <c r="A66" s="43" t="str">
        <f>HLOOKUP(INDICE!$F$2,Nombres!$C$3:$D$636,35,FALSE)</f>
        <v>Net trading income</v>
      </c>
      <c r="B66" s="44">
        <v>26.805902066301115</v>
      </c>
      <c r="C66" s="44">
        <v>25.838074518850345</v>
      </c>
      <c r="D66" s="44">
        <v>21.04242419367446</v>
      </c>
      <c r="E66" s="45">
        <v>40.56860301604111</v>
      </c>
      <c r="F66" s="44">
        <v>41.21885344802086</v>
      </c>
      <c r="G66" s="44">
        <v>39.16332143343182</v>
      </c>
      <c r="H66" s="44">
        <v>58.141860538547334</v>
      </c>
    </row>
    <row r="67" spans="1:8" ht="15">
      <c r="A67" s="43" t="str">
        <f>HLOOKUP(INDICE!$F$2,Nombres!$C$3:$D$636,36,FALSE)</f>
        <v>Other operating income and expenses</v>
      </c>
      <c r="B67" s="44">
        <v>2.837438468926239</v>
      </c>
      <c r="C67" s="44">
        <v>1.766123056811221</v>
      </c>
      <c r="D67" s="44">
        <v>-4.820301204458655</v>
      </c>
      <c r="E67" s="45">
        <v>9.642225870758253</v>
      </c>
      <c r="F67" s="44">
        <v>-2.7142176516906726</v>
      </c>
      <c r="G67" s="44">
        <v>1.4693884285901297</v>
      </c>
      <c r="H67" s="44">
        <v>3.4208542231005454</v>
      </c>
    </row>
    <row r="68" spans="1:8" ht="15">
      <c r="A68" s="41" t="str">
        <f>HLOOKUP(INDICE!$F$2,Nombres!$C$3:$D$636,37,FALSE)</f>
        <v>Gross income</v>
      </c>
      <c r="B68" s="41">
        <f>+SUM(B64:B67)</f>
        <v>765.4097697640058</v>
      </c>
      <c r="C68" s="41">
        <f aca="true" t="shared" si="9" ref="C68:H68">+SUM(C64:C67)</f>
        <v>782.0342160057165</v>
      </c>
      <c r="D68" s="41">
        <f t="shared" si="9"/>
        <v>772.5340526840449</v>
      </c>
      <c r="E68" s="42">
        <f t="shared" si="9"/>
        <v>821.916706665951</v>
      </c>
      <c r="F68" s="52">
        <f t="shared" si="9"/>
        <v>813.1737204360983</v>
      </c>
      <c r="G68" s="52">
        <f t="shared" si="9"/>
        <v>812.8849692827903</v>
      </c>
      <c r="H68" s="52">
        <f t="shared" si="9"/>
        <v>816.1782985911112</v>
      </c>
    </row>
    <row r="69" spans="1:8" ht="15">
      <c r="A69" s="43" t="str">
        <f>HLOOKUP(INDICE!$F$2,Nombres!$C$3:$D$636,38,FALSE)</f>
        <v>Operating expenses</v>
      </c>
      <c r="B69" s="44">
        <v>-475.7200264143253</v>
      </c>
      <c r="C69" s="44">
        <v>-485.9515637920681</v>
      </c>
      <c r="D69" s="44">
        <v>-496.45502255656163</v>
      </c>
      <c r="E69" s="45">
        <v>-497.497211621368</v>
      </c>
      <c r="F69" s="44">
        <v>-478.1961636879385</v>
      </c>
      <c r="G69" s="44">
        <v>-487.519936920999</v>
      </c>
      <c r="H69" s="44">
        <v>-487.94910744106244</v>
      </c>
    </row>
    <row r="70" spans="1:8" ht="15">
      <c r="A70" s="43" t="str">
        <f>HLOOKUP(INDICE!$F$2,Nombres!$C$3:$D$636,39,FALSE)</f>
        <v>  Administration expenses</v>
      </c>
      <c r="B70" s="44">
        <v>-429.5017398179002</v>
      </c>
      <c r="C70" s="44">
        <v>-439.6455057875551</v>
      </c>
      <c r="D70" s="44">
        <v>-449.1961362816515</v>
      </c>
      <c r="E70" s="45">
        <v>-450.29391436236017</v>
      </c>
      <c r="F70" s="44">
        <v>-422.1884797575115</v>
      </c>
      <c r="G70" s="44">
        <v>-432.6754764765642</v>
      </c>
      <c r="H70" s="44">
        <v>-433.88672981592424</v>
      </c>
    </row>
    <row r="71" spans="1:8" ht="15">
      <c r="A71" s="46" t="str">
        <f>HLOOKUP(INDICE!$F$2,Nombres!$C$3:$D$636,40,FALSE)</f>
        <v>  Personnel expenses</v>
      </c>
      <c r="B71" s="44">
        <v>-275.56395091150824</v>
      </c>
      <c r="C71" s="44">
        <v>-277.4227564131297</v>
      </c>
      <c r="D71" s="44">
        <v>-280.47356712568035</v>
      </c>
      <c r="E71" s="45">
        <v>-270.93114781321054</v>
      </c>
      <c r="F71" s="44">
        <v>-280.90284036328654</v>
      </c>
      <c r="G71" s="44">
        <v>-277.03692650695245</v>
      </c>
      <c r="H71" s="44">
        <v>-281.553413949761</v>
      </c>
    </row>
    <row r="72" spans="1:8" ht="15">
      <c r="A72" s="46" t="str">
        <f>HLOOKUP(INDICE!$F$2,Nombres!$C$3:$D$636,41,FALSE)</f>
        <v>  General and administrative expenses</v>
      </c>
      <c r="B72" s="44">
        <v>-153.9377889063919</v>
      </c>
      <c r="C72" s="44">
        <v>-162.22274937442546</v>
      </c>
      <c r="D72" s="44">
        <v>-168.72256915597114</v>
      </c>
      <c r="E72" s="45">
        <v>-179.36276654914968</v>
      </c>
      <c r="F72" s="44">
        <v>-141.28563939422497</v>
      </c>
      <c r="G72" s="44">
        <v>-155.6385499696118</v>
      </c>
      <c r="H72" s="44">
        <v>-152.3333158661632</v>
      </c>
    </row>
    <row r="73" spans="1:8" ht="15">
      <c r="A73" s="43" t="str">
        <f>HLOOKUP(INDICE!$F$2,Nombres!$C$3:$D$636,42,FALSE)</f>
        <v>  Depreciation</v>
      </c>
      <c r="B73" s="44">
        <v>-46.218286596425074</v>
      </c>
      <c r="C73" s="44">
        <v>-46.30605800451298</v>
      </c>
      <c r="D73" s="44">
        <v>-47.258886274910154</v>
      </c>
      <c r="E73" s="45">
        <v>-47.20329725900782</v>
      </c>
      <c r="F73" s="44">
        <v>-56.00768393042699</v>
      </c>
      <c r="G73" s="44">
        <v>-54.84446044443478</v>
      </c>
      <c r="H73" s="44">
        <v>-54.062377625138225</v>
      </c>
    </row>
    <row r="74" spans="1:8" ht="15">
      <c r="A74" s="41" t="str">
        <f>HLOOKUP(INDICE!$F$2,Nombres!$C$3:$D$636,43,FALSE)</f>
        <v>Operating income</v>
      </c>
      <c r="B74" s="41">
        <f>+B68+B69</f>
        <v>289.6897433496805</v>
      </c>
      <c r="C74" s="41">
        <f aca="true" t="shared" si="10" ref="C74:H74">+C68+C69</f>
        <v>296.08265221364843</v>
      </c>
      <c r="D74" s="41">
        <f t="shared" si="10"/>
        <v>276.0790301274833</v>
      </c>
      <c r="E74" s="42">
        <f t="shared" si="10"/>
        <v>324.41949504458296</v>
      </c>
      <c r="F74" s="52">
        <f t="shared" si="10"/>
        <v>334.97755674815977</v>
      </c>
      <c r="G74" s="52">
        <f t="shared" si="10"/>
        <v>325.3650323617913</v>
      </c>
      <c r="H74" s="52">
        <f t="shared" si="10"/>
        <v>328.2291911500488</v>
      </c>
    </row>
    <row r="75" spans="1:8" ht="15">
      <c r="A75" s="43" t="str">
        <f>HLOOKUP(INDICE!$F$2,Nombres!$C$3:$D$636,44,FALSE)</f>
        <v>Impaiment on financial assets not measured at fair value through profit or loss</v>
      </c>
      <c r="B75" s="44">
        <v>-22.2325737195057</v>
      </c>
      <c r="C75" s="44">
        <v>-45.42490326583436</v>
      </c>
      <c r="D75" s="44">
        <v>-78.74019263564999</v>
      </c>
      <c r="E75" s="45">
        <v>-89.71297100605335</v>
      </c>
      <c r="F75" s="44">
        <v>-163.1852838408783</v>
      </c>
      <c r="G75" s="44">
        <v>-124.62280547197912</v>
      </c>
      <c r="H75" s="44">
        <v>-117.8965366871426</v>
      </c>
    </row>
    <row r="76" spans="1:8" ht="15">
      <c r="A76" s="43" t="str">
        <f>HLOOKUP(INDICE!$F$2,Nombres!$C$3:$D$636,45,FALSE)</f>
        <v>Provisions or reversal of provisions and other results</v>
      </c>
      <c r="B76" s="44">
        <v>8.741688319597742</v>
      </c>
      <c r="C76" s="44">
        <v>3.8363008957858633</v>
      </c>
      <c r="D76" s="44">
        <v>1.7815895562031512</v>
      </c>
      <c r="E76" s="45">
        <v>2.637182952488493</v>
      </c>
      <c r="F76" s="44">
        <v>-9.898186906214434</v>
      </c>
      <c r="G76" s="44">
        <v>4.248190137305497</v>
      </c>
      <c r="H76" s="44">
        <v>10.47276876890894</v>
      </c>
    </row>
    <row r="77" spans="1:8" ht="15">
      <c r="A77" s="41" t="str">
        <f>HLOOKUP(INDICE!$F$2,Nombres!$C$3:$D$636,46,FALSE)</f>
        <v>Profit/(loss) before tax</v>
      </c>
      <c r="B77" s="41">
        <f>+B74+B75+B76</f>
        <v>276.19885794977256</v>
      </c>
      <c r="C77" s="41">
        <f aca="true" t="shared" si="11" ref="C77:H77">+C74+C75+C76</f>
        <v>254.49404984359992</v>
      </c>
      <c r="D77" s="41">
        <f t="shared" si="11"/>
        <v>199.12042704803648</v>
      </c>
      <c r="E77" s="42">
        <f t="shared" si="11"/>
        <v>237.3437069910181</v>
      </c>
      <c r="F77" s="52">
        <f t="shared" si="11"/>
        <v>161.89408600106702</v>
      </c>
      <c r="G77" s="52">
        <f t="shared" si="11"/>
        <v>204.99041702711767</v>
      </c>
      <c r="H77" s="52">
        <f t="shared" si="11"/>
        <v>220.80542323181513</v>
      </c>
    </row>
    <row r="78" spans="1:8" ht="15">
      <c r="A78" s="43" t="str">
        <f>HLOOKUP(INDICE!$F$2,Nombres!$C$3:$D$636,47,FALSE)</f>
        <v>Income tax</v>
      </c>
      <c r="B78" s="44">
        <v>-61.731498607746275</v>
      </c>
      <c r="C78" s="44">
        <v>-54.64588342614703</v>
      </c>
      <c r="D78" s="44">
        <v>-37.763273145148275</v>
      </c>
      <c r="E78" s="45">
        <v>-39.83527175906143</v>
      </c>
      <c r="F78" s="44">
        <v>-32.77036168016461</v>
      </c>
      <c r="G78" s="44">
        <v>-34.605436246205784</v>
      </c>
      <c r="H78" s="44">
        <v>-42.5048716836296</v>
      </c>
    </row>
    <row r="79" spans="1:8" ht="15">
      <c r="A79" s="41" t="str">
        <f>HLOOKUP(INDICE!$F$2,Nombres!$C$3:$D$636,48,FALSE)</f>
        <v>Profit/(loss) for the year</v>
      </c>
      <c r="B79" s="41">
        <f>+B77+B78</f>
        <v>214.46735934202627</v>
      </c>
      <c r="C79" s="41">
        <f aca="true" t="shared" si="12" ref="C79:H79">+C77+C78</f>
        <v>199.8481664174529</v>
      </c>
      <c r="D79" s="41">
        <f t="shared" si="12"/>
        <v>161.3571539028882</v>
      </c>
      <c r="E79" s="42">
        <f t="shared" si="12"/>
        <v>197.5084352319567</v>
      </c>
      <c r="F79" s="52">
        <f t="shared" si="12"/>
        <v>129.1237243209024</v>
      </c>
      <c r="G79" s="52">
        <f t="shared" si="12"/>
        <v>170.3849807809119</v>
      </c>
      <c r="H79" s="52">
        <f t="shared" si="12"/>
        <v>178.30055154818552</v>
      </c>
    </row>
    <row r="80" spans="1:8" ht="15">
      <c r="A80" s="43" t="str">
        <f>HLOOKUP(INDICE!$F$2,Nombres!$C$3:$D$636,49,FALSE)</f>
        <v>Non-controlling interests</v>
      </c>
      <c r="B80" s="44" t="s">
        <v>407</v>
      </c>
      <c r="C80" s="44" t="s">
        <v>407</v>
      </c>
      <c r="D80" s="44" t="s">
        <v>407</v>
      </c>
      <c r="E80" s="45" t="s">
        <v>407</v>
      </c>
      <c r="F80" s="44" t="s">
        <v>407</v>
      </c>
      <c r="G80" s="44" t="s">
        <v>407</v>
      </c>
      <c r="H80" s="44" t="s">
        <v>407</v>
      </c>
    </row>
    <row r="81" spans="1:8" ht="15">
      <c r="A81" s="47" t="str">
        <f>HLOOKUP(INDICE!$F$2,Nombres!$C$3:$D$636,50,FALSE)</f>
        <v>Net attributable profit</v>
      </c>
      <c r="B81" s="47">
        <f>+B79+B80</f>
        <v>214.46735934202627</v>
      </c>
      <c r="C81" s="47">
        <f aca="true" t="shared" si="13" ref="C81:H81">+C79+C80</f>
        <v>199.8481664174529</v>
      </c>
      <c r="D81" s="47">
        <f t="shared" si="13"/>
        <v>161.3571539028882</v>
      </c>
      <c r="E81" s="47">
        <f t="shared" si="13"/>
        <v>197.5084352319567</v>
      </c>
      <c r="F81" s="53">
        <f t="shared" si="13"/>
        <v>129.1237243209024</v>
      </c>
      <c r="G81" s="53">
        <f t="shared" si="13"/>
        <v>170.3849807809119</v>
      </c>
      <c r="H81" s="53">
        <f t="shared" si="13"/>
        <v>178.30055154818552</v>
      </c>
    </row>
    <row r="82" spans="1:8" ht="15">
      <c r="A82" s="65"/>
      <c r="B82" s="66">
        <v>0</v>
      </c>
      <c r="C82" s="66">
        <v>0</v>
      </c>
      <c r="D82" s="66">
        <v>0</v>
      </c>
      <c r="E82" s="66">
        <v>0</v>
      </c>
      <c r="F82" s="66">
        <v>0</v>
      </c>
      <c r="G82" s="66">
        <v>0</v>
      </c>
      <c r="H82" s="66">
        <v>0</v>
      </c>
    </row>
    <row r="83" spans="1:8" ht="15">
      <c r="A83" s="41"/>
      <c r="B83" s="41"/>
      <c r="C83" s="41"/>
      <c r="D83" s="41"/>
      <c r="E83" s="41"/>
      <c r="F83" s="52"/>
      <c r="G83" s="52"/>
      <c r="H83" s="52"/>
    </row>
    <row r="84" spans="1:8" ht="18">
      <c r="A84" s="33" t="str">
        <f>HLOOKUP(INDICE!$F$2,Nombres!$C$3:$D$636,51,FALSE)</f>
        <v>Balance sheets</v>
      </c>
      <c r="B84" s="34"/>
      <c r="C84" s="34"/>
      <c r="D84" s="34"/>
      <c r="E84" s="34"/>
      <c r="F84" s="72"/>
      <c r="G84" s="72"/>
      <c r="H84" s="72"/>
    </row>
    <row r="85" spans="1:8" ht="15">
      <c r="A85" s="35" t="str">
        <f>HLOOKUP(INDICE!$F$2,Nombres!$C$3:$D$636,73,FALSE)</f>
        <v>(Constant million euros)    </v>
      </c>
      <c r="B85" s="30"/>
      <c r="C85" s="54"/>
      <c r="D85" s="54"/>
      <c r="E85" s="54"/>
      <c r="F85" s="73"/>
      <c r="G85" s="44"/>
      <c r="H85" s="44"/>
    </row>
    <row r="86" spans="1:8" ht="15.75">
      <c r="A86" s="30"/>
      <c r="B86" s="55">
        <f aca="true" t="shared" si="14" ref="B86:H86">+B$30</f>
        <v>43190</v>
      </c>
      <c r="C86" s="55">
        <f t="shared" si="14"/>
        <v>43281</v>
      </c>
      <c r="D86" s="55">
        <f t="shared" si="14"/>
        <v>43373</v>
      </c>
      <c r="E86" s="71">
        <f t="shared" si="14"/>
        <v>43465</v>
      </c>
      <c r="F86" s="55">
        <f t="shared" si="14"/>
        <v>43555</v>
      </c>
      <c r="G86" s="55">
        <f t="shared" si="14"/>
        <v>43646</v>
      </c>
      <c r="H86" s="55">
        <f t="shared" si="14"/>
        <v>43738</v>
      </c>
    </row>
    <row r="87" spans="1:8" ht="15">
      <c r="A87" s="43" t="str">
        <f>HLOOKUP(INDICE!$F$2,Nombres!$C$3:$D$636,52,FALSE)</f>
        <v>Cash, cash balances at central banks and other demand deposits</v>
      </c>
      <c r="B87" s="44">
        <v>5559.224606380257</v>
      </c>
      <c r="C87" s="44">
        <v>4983.481286165531</v>
      </c>
      <c r="D87" s="44">
        <v>4665.391776290388</v>
      </c>
      <c r="E87" s="45">
        <v>5084.216432269762</v>
      </c>
      <c r="F87" s="44">
        <v>6757.842330822068</v>
      </c>
      <c r="G87" s="44">
        <v>7842.213890624389</v>
      </c>
      <c r="H87" s="44">
        <v>7665.81225</v>
      </c>
    </row>
    <row r="88" spans="1:8" ht="15">
      <c r="A88" s="43" t="str">
        <f>HLOOKUP(INDICE!$F$2,Nombres!$C$3:$D$636,53,FALSE)</f>
        <v>Financial assets designated at fair value </v>
      </c>
      <c r="B88" s="60">
        <v>11328.445962931803</v>
      </c>
      <c r="C88" s="60">
        <v>11384.154939822753</v>
      </c>
      <c r="D88" s="60">
        <v>11188.64168575439</v>
      </c>
      <c r="E88" s="68">
        <v>11020.509704085376</v>
      </c>
      <c r="F88" s="44">
        <v>9626.077558642086</v>
      </c>
      <c r="G88" s="44">
        <v>10746.302457235033</v>
      </c>
      <c r="H88" s="44">
        <v>8345.792112</v>
      </c>
    </row>
    <row r="89" spans="1:8" ht="15">
      <c r="A89" s="43" t="str">
        <f>HLOOKUP(INDICE!$F$2,Nombres!$C$3:$D$636,54,FALSE)</f>
        <v>Financial assets at amortized cost</v>
      </c>
      <c r="B89" s="44">
        <v>61626.983749750034</v>
      </c>
      <c r="C89" s="44">
        <v>63133.61831365782</v>
      </c>
      <c r="D89" s="44">
        <v>64784.44489789827</v>
      </c>
      <c r="E89" s="45">
        <v>66812.9412592252</v>
      </c>
      <c r="F89" s="44">
        <v>67713.9927536036</v>
      </c>
      <c r="G89" s="44">
        <v>67763.13845500574</v>
      </c>
      <c r="H89" s="44">
        <v>69342.737065</v>
      </c>
    </row>
    <row r="90" spans="1:8" ht="15">
      <c r="A90" s="43" t="str">
        <f>HLOOKUP(INDICE!$F$2,Nombres!$C$3:$D$636,55,FALSE)</f>
        <v>    of which loans and advances to customers</v>
      </c>
      <c r="B90" s="44">
        <v>59654.64213586022</v>
      </c>
      <c r="C90" s="44">
        <v>60998.16032698929</v>
      </c>
      <c r="D90" s="44">
        <v>62305.99839780231</v>
      </c>
      <c r="E90" s="45">
        <v>63941.159957101874</v>
      </c>
      <c r="F90" s="44">
        <v>63354.1109029793</v>
      </c>
      <c r="G90" s="44">
        <v>62841.41170681163</v>
      </c>
      <c r="H90" s="44">
        <v>63209.64667999999</v>
      </c>
    </row>
    <row r="91" spans="1:8" ht="15">
      <c r="A91" s="43" t="str">
        <f>HLOOKUP(INDICE!$F$2,Nombres!$C$3:$D$636,121,FALSE)</f>
        <v>Inter-area positions</v>
      </c>
      <c r="B91" s="44">
        <v>0</v>
      </c>
      <c r="C91" s="44">
        <v>0</v>
      </c>
      <c r="D91" s="44">
        <v>0</v>
      </c>
      <c r="E91" s="45">
        <v>0</v>
      </c>
      <c r="F91" s="44">
        <v>0</v>
      </c>
      <c r="G91" s="44">
        <v>0</v>
      </c>
      <c r="H91" s="44">
        <v>0</v>
      </c>
    </row>
    <row r="92" spans="1:8" ht="15">
      <c r="A92" s="43" t="str">
        <f>HLOOKUP(INDICE!$F$2,Nombres!$C$3:$D$636,56,FALSE)</f>
        <v>Tangible assets</v>
      </c>
      <c r="B92" s="60">
        <v>716.7092627289887</v>
      </c>
      <c r="C92" s="60">
        <v>707.9733131069015</v>
      </c>
      <c r="D92" s="60">
        <v>703.9020647429405</v>
      </c>
      <c r="E92" s="68">
        <v>702.9277059676297</v>
      </c>
      <c r="F92" s="44">
        <v>982.6008899722024</v>
      </c>
      <c r="G92" s="44">
        <v>966.8690450749477</v>
      </c>
      <c r="H92" s="44">
        <v>951.461749</v>
      </c>
    </row>
    <row r="93" spans="1:8" ht="15">
      <c r="A93" s="43" t="str">
        <f>HLOOKUP(INDICE!$F$2,Nombres!$C$3:$D$636,57,FALSE)</f>
        <v>Other assets</v>
      </c>
      <c r="B93" s="60">
        <f>+B94-B92-B89-B88-B87-B91</f>
        <v>2575.076360838467</v>
      </c>
      <c r="C93" s="60">
        <f aca="true" t="shared" si="15" ref="C93:H93">+C94-C92-C89-C88-C87-C91</f>
        <v>2411.411788061251</v>
      </c>
      <c r="D93" s="60">
        <f t="shared" si="15"/>
        <v>2533.696614791207</v>
      </c>
      <c r="E93" s="68">
        <f t="shared" si="15"/>
        <v>2664.3533033788544</v>
      </c>
      <c r="F93" s="44">
        <f t="shared" si="15"/>
        <v>2785.4148296797266</v>
      </c>
      <c r="G93" s="44">
        <f t="shared" si="15"/>
        <v>2798.2537284473474</v>
      </c>
      <c r="H93" s="44">
        <f t="shared" si="15"/>
        <v>2424.5560969999924</v>
      </c>
    </row>
    <row r="94" spans="1:8" ht="15">
      <c r="A94" s="47" t="str">
        <f>HLOOKUP(INDICE!$F$2,Nombres!$C$3:$D$636,58,FALSE)</f>
        <v>Total assets / Liabilities and equity</v>
      </c>
      <c r="B94" s="47">
        <v>81806.43994262954</v>
      </c>
      <c r="C94" s="47">
        <v>82620.63964081426</v>
      </c>
      <c r="D94" s="47">
        <v>83876.0770394772</v>
      </c>
      <c r="E94" s="74">
        <v>86284.94840492682</v>
      </c>
      <c r="F94" s="47">
        <v>87865.92836271969</v>
      </c>
      <c r="G94" s="53">
        <v>90116.77757638745</v>
      </c>
      <c r="H94" s="53">
        <v>88730.35927299998</v>
      </c>
    </row>
    <row r="95" spans="1:8" ht="15">
      <c r="A95" s="43" t="str">
        <f>HLOOKUP(INDICE!$F$2,Nombres!$C$3:$D$636,59,FALSE)</f>
        <v>Financial liabilities held for trading and designated at fair value through profit or loss</v>
      </c>
      <c r="B95" s="60">
        <v>194.55173761055235</v>
      </c>
      <c r="C95" s="60">
        <v>416.36281866551343</v>
      </c>
      <c r="D95" s="60">
        <v>324.7149219345724</v>
      </c>
      <c r="E95" s="68">
        <v>246.39953577947068</v>
      </c>
      <c r="F95" s="44">
        <v>314.30320257545594</v>
      </c>
      <c r="G95" s="44">
        <v>1541.6204274719225</v>
      </c>
      <c r="H95" s="44">
        <v>248.74800000000002</v>
      </c>
    </row>
    <row r="96" spans="1:8" ht="15">
      <c r="A96" s="43" t="str">
        <f>HLOOKUP(INDICE!$F$2,Nombres!$C$3:$D$636,60,FALSE)</f>
        <v>Deposits from central banks and credit institutions</v>
      </c>
      <c r="B96" s="60">
        <v>3467.2606275469425</v>
      </c>
      <c r="C96" s="60">
        <v>3339.588023357148</v>
      </c>
      <c r="D96" s="60">
        <v>4759.565021881828</v>
      </c>
      <c r="E96" s="68">
        <v>3543.7909923365396</v>
      </c>
      <c r="F96" s="44">
        <v>4859.540003753025</v>
      </c>
      <c r="G96" s="44">
        <v>4774.340814883411</v>
      </c>
      <c r="H96" s="44">
        <v>4049.365527</v>
      </c>
    </row>
    <row r="97" spans="1:8" ht="15">
      <c r="A97" s="43" t="str">
        <f>HLOOKUP(INDICE!$F$2,Nombres!$C$3:$D$636,61,FALSE)</f>
        <v>Deposits from customers</v>
      </c>
      <c r="B97" s="60">
        <v>66115.23161170696</v>
      </c>
      <c r="C97" s="60">
        <v>64991.191406598606</v>
      </c>
      <c r="D97" s="60">
        <v>64760.04360654078</v>
      </c>
      <c r="E97" s="68">
        <v>67182.6626964653</v>
      </c>
      <c r="F97" s="44">
        <v>67236.10742172753</v>
      </c>
      <c r="G97" s="44">
        <v>65968.3357258734</v>
      </c>
      <c r="H97" s="44">
        <v>67375.940979</v>
      </c>
    </row>
    <row r="98" spans="1:8" ht="15">
      <c r="A98" s="43" t="str">
        <f>HLOOKUP(INDICE!$F$2,Nombres!$C$3:$D$636,62,FALSE)</f>
        <v>Debt certificates</v>
      </c>
      <c r="B98" s="44">
        <v>2195.4394678769013</v>
      </c>
      <c r="C98" s="44">
        <v>3455.287067870648</v>
      </c>
      <c r="D98" s="44">
        <v>3431.0491603911723</v>
      </c>
      <c r="E98" s="45">
        <v>3784.575087483011</v>
      </c>
      <c r="F98" s="44">
        <v>3470.9320616478003</v>
      </c>
      <c r="G98" s="44">
        <v>3534.712025942754</v>
      </c>
      <c r="H98" s="44">
        <v>3710.3406013599997</v>
      </c>
    </row>
    <row r="99" spans="1:8" ht="15">
      <c r="A99" s="43" t="str">
        <f>HLOOKUP(INDICE!$F$2,Nombres!$C$3:$D$636,122,FALSE)</f>
        <v>Inter-area positions</v>
      </c>
      <c r="B99" s="44">
        <v>601.319025070552</v>
      </c>
      <c r="C99" s="44">
        <v>1361.2695683623751</v>
      </c>
      <c r="D99" s="44">
        <v>1283.6303890168638</v>
      </c>
      <c r="E99" s="45">
        <v>2025.714018058119</v>
      </c>
      <c r="F99" s="44">
        <v>1791.727346917629</v>
      </c>
      <c r="G99" s="44">
        <v>3926.637437227095</v>
      </c>
      <c r="H99" s="44">
        <v>3023.7998563499714</v>
      </c>
    </row>
    <row r="100" spans="1:8" ht="15">
      <c r="A100" s="43" t="str">
        <f>HLOOKUP(INDICE!$F$2,Nombres!$C$3:$D$636,63,FALSE)</f>
        <v>Other liabilities</v>
      </c>
      <c r="B100" s="44">
        <f>+B94-B95-B96-B97-B98-B101-B99</f>
        <v>5933.054735195912</v>
      </c>
      <c r="C100" s="44">
        <f aca="true" t="shared" si="16" ref="C100:H100">+C94-C95-C96-C97-C98-C101-C99</f>
        <v>5596.41107793913</v>
      </c>
      <c r="D100" s="44">
        <f t="shared" si="16"/>
        <v>5670.67046670454</v>
      </c>
      <c r="E100" s="45">
        <f t="shared" si="16"/>
        <v>5944.803680432111</v>
      </c>
      <c r="F100" s="44">
        <f t="shared" si="16"/>
        <v>6394.746522407407</v>
      </c>
      <c r="G100" s="44">
        <f t="shared" si="16"/>
        <v>6512.898135327334</v>
      </c>
      <c r="H100" s="44">
        <f t="shared" si="16"/>
        <v>6654.258413639995</v>
      </c>
    </row>
    <row r="101" spans="1:8" ht="15">
      <c r="A101" s="43" t="str">
        <f>HLOOKUP(INDICE!$F$2,Nombres!$C$3:$D$636,64,FALSE)</f>
        <v>Economic capital allocated</v>
      </c>
      <c r="B101" s="44">
        <v>3299.5827376217185</v>
      </c>
      <c r="C101" s="44">
        <v>3460.5296780208396</v>
      </c>
      <c r="D101" s="44">
        <v>3646.4034730074363</v>
      </c>
      <c r="E101" s="45">
        <v>3557.0023943722676</v>
      </c>
      <c r="F101" s="44">
        <v>3798.5718036908484</v>
      </c>
      <c r="G101" s="44">
        <v>3858.2330096615333</v>
      </c>
      <c r="H101" s="44">
        <v>3667.9058956499994</v>
      </c>
    </row>
    <row r="102" spans="1:8" ht="15">
      <c r="A102" s="65"/>
      <c r="B102" s="60"/>
      <c r="C102" s="60"/>
      <c r="D102" s="60"/>
      <c r="E102" s="60"/>
      <c r="F102" s="44"/>
      <c r="G102" s="44"/>
      <c r="H102" s="44"/>
    </row>
    <row r="103" spans="1:8" ht="15">
      <c r="A103" s="43"/>
      <c r="B103" s="60"/>
      <c r="C103" s="60"/>
      <c r="D103" s="60"/>
      <c r="E103" s="60"/>
      <c r="F103" s="44"/>
      <c r="G103" s="44"/>
      <c r="H103" s="44"/>
    </row>
    <row r="104" spans="1:8" ht="18">
      <c r="A104" s="69" t="str">
        <f>HLOOKUP(INDICE!$F$2,Nombres!$C$3:$D$636,65,FALSE)</f>
        <v>Relevant business indicators</v>
      </c>
      <c r="B104" s="70"/>
      <c r="C104" s="70"/>
      <c r="D104" s="70"/>
      <c r="E104" s="70"/>
      <c r="F104" s="75"/>
      <c r="G104" s="75"/>
      <c r="H104" s="75"/>
    </row>
    <row r="105" spans="1:8" ht="15">
      <c r="A105" s="35" t="str">
        <f>HLOOKUP(INDICE!$F$2,Nombres!$C$3:$D$636,73,FALSE)</f>
        <v>(Constant million euros)    </v>
      </c>
      <c r="B105" s="30"/>
      <c r="C105" s="30"/>
      <c r="D105" s="30"/>
      <c r="E105" s="30"/>
      <c r="F105" s="73"/>
      <c r="G105" s="73"/>
      <c r="H105" s="73"/>
    </row>
    <row r="106" spans="1:8" ht="15.75">
      <c r="A106" s="30"/>
      <c r="B106" s="55">
        <f aca="true" t="shared" si="17" ref="B106:H106">+B$30</f>
        <v>43190</v>
      </c>
      <c r="C106" s="55">
        <f t="shared" si="17"/>
        <v>43281</v>
      </c>
      <c r="D106" s="55">
        <f t="shared" si="17"/>
        <v>43373</v>
      </c>
      <c r="E106" s="71">
        <f t="shared" si="17"/>
        <v>43465</v>
      </c>
      <c r="F106" s="55">
        <f t="shared" si="17"/>
        <v>43555</v>
      </c>
      <c r="G106" s="55">
        <f t="shared" si="17"/>
        <v>43646</v>
      </c>
      <c r="H106" s="55">
        <f t="shared" si="17"/>
        <v>43738</v>
      </c>
    </row>
    <row r="107" spans="1:8" ht="15">
      <c r="A107" s="43" t="str">
        <f>HLOOKUP(INDICE!$F$2,Nombres!$C$3:$D$636,66,FALSE)</f>
        <v>Loans and advances to customers (gross) (*)</v>
      </c>
      <c r="B107" s="44">
        <v>60465.147484102745</v>
      </c>
      <c r="C107" s="44">
        <v>61500.31717306941</v>
      </c>
      <c r="D107" s="44">
        <v>63069.602421127114</v>
      </c>
      <c r="E107" s="45">
        <v>64685.63427558723</v>
      </c>
      <c r="F107" s="44">
        <v>64170.7327295992</v>
      </c>
      <c r="G107" s="44">
        <v>63649.87045370281</v>
      </c>
      <c r="H107" s="44">
        <v>63969.84582371</v>
      </c>
    </row>
    <row r="108" spans="1:8" ht="15">
      <c r="A108" s="43" t="str">
        <f>HLOOKUP(INDICE!$F$2,Nombres!$C$3:$D$636,67,FALSE)</f>
        <v>Customer deposits under management (*)</v>
      </c>
      <c r="B108" s="44">
        <v>66218.5566300985</v>
      </c>
      <c r="C108" s="44">
        <v>65104.367512135155</v>
      </c>
      <c r="D108" s="44">
        <v>64756.52089154366</v>
      </c>
      <c r="E108" s="45">
        <v>67179.58581559654</v>
      </c>
      <c r="F108" s="44">
        <v>67233.72796525621</v>
      </c>
      <c r="G108" s="44">
        <v>65965.90736835577</v>
      </c>
      <c r="H108" s="44">
        <v>67373.56720903</v>
      </c>
    </row>
    <row r="109" spans="1:8" ht="15">
      <c r="A109" s="43" t="str">
        <f>HLOOKUP(INDICE!$F$2,Nombres!$C$3:$D$636,68,FALSE)</f>
        <v>Mutual funds</v>
      </c>
      <c r="B109" s="44" t="s">
        <v>407</v>
      </c>
      <c r="C109" s="44" t="s">
        <v>407</v>
      </c>
      <c r="D109" s="44" t="s">
        <v>407</v>
      </c>
      <c r="E109" s="45" t="s">
        <v>407</v>
      </c>
      <c r="F109" s="44" t="s">
        <v>407</v>
      </c>
      <c r="G109" s="44" t="s">
        <v>407</v>
      </c>
      <c r="H109" s="44" t="s">
        <v>407</v>
      </c>
    </row>
    <row r="110" spans="1:8" ht="15">
      <c r="A110" s="43" t="str">
        <f>HLOOKUP(INDICE!$F$2,Nombres!$C$3:$D$636,69,FALSE)</f>
        <v>Pension funds</v>
      </c>
      <c r="B110" s="44" t="s">
        <v>407</v>
      </c>
      <c r="C110" s="44" t="s">
        <v>407</v>
      </c>
      <c r="D110" s="44" t="s">
        <v>407</v>
      </c>
      <c r="E110" s="45" t="s">
        <v>407</v>
      </c>
      <c r="F110" s="44" t="s">
        <v>407</v>
      </c>
      <c r="G110" s="44" t="s">
        <v>407</v>
      </c>
      <c r="H110" s="44" t="s">
        <v>407</v>
      </c>
    </row>
    <row r="111" spans="1:8" ht="15">
      <c r="A111" s="43" t="str">
        <f>HLOOKUP(INDICE!$F$2,Nombres!$C$3:$D$636,70,FALSE)</f>
        <v>Other off balance-sheet funds</v>
      </c>
      <c r="B111" s="44" t="s">
        <v>407</v>
      </c>
      <c r="C111" s="44" t="s">
        <v>407</v>
      </c>
      <c r="D111" s="44" t="s">
        <v>407</v>
      </c>
      <c r="E111" s="45" t="s">
        <v>407</v>
      </c>
      <c r="F111" s="44" t="s">
        <v>407</v>
      </c>
      <c r="G111" s="44" t="s">
        <v>407</v>
      </c>
      <c r="H111" s="44" t="s">
        <v>407</v>
      </c>
    </row>
    <row r="112" spans="1:8" ht="15">
      <c r="A112" s="65" t="str">
        <f>HLOOKUP(INDICE!$F$2,Nombres!$C$3:$D$636,71,FALSE)</f>
        <v>(*) Excluding repos. </v>
      </c>
      <c r="B112" s="60"/>
      <c r="C112" s="60"/>
      <c r="D112" s="60"/>
      <c r="E112" s="60"/>
      <c r="F112" s="60"/>
      <c r="G112" s="60"/>
      <c r="H112" s="60"/>
    </row>
    <row r="113" spans="1:8" ht="15">
      <c r="A113" s="65">
        <f>HLOOKUP(INDICE!$F$2,Nombres!$C$3:$D$636,72,FALSE)</f>
        <v>0</v>
      </c>
      <c r="B113" s="30"/>
      <c r="C113" s="30"/>
      <c r="D113" s="30"/>
      <c r="E113" s="30"/>
      <c r="F113" s="30"/>
      <c r="G113" s="30"/>
      <c r="H113" s="30"/>
    </row>
    <row r="114" spans="1:8" ht="15">
      <c r="A114" s="65"/>
      <c r="B114" s="60"/>
      <c r="C114" s="44"/>
      <c r="D114" s="44"/>
      <c r="E114" s="44"/>
      <c r="F114" s="44"/>
      <c r="G114" s="30"/>
      <c r="H114" s="30"/>
    </row>
    <row r="115" spans="1:8" ht="18">
      <c r="A115" s="33" t="str">
        <f>HLOOKUP(INDICE!$F$2,Nombres!$C$3:$D$636,31,FALSE)</f>
        <v>Income statement  </v>
      </c>
      <c r="B115" s="34"/>
      <c r="C115" s="34"/>
      <c r="D115" s="34"/>
      <c r="E115" s="34"/>
      <c r="F115" s="34"/>
      <c r="G115" s="34"/>
      <c r="H115" s="34"/>
    </row>
    <row r="116" spans="1:8" ht="15">
      <c r="A116" s="35" t="str">
        <f>HLOOKUP(INDICE!$F$2,Nombres!$C$3:$D$636,76,FALSE)</f>
        <v>(Million dolars)</v>
      </c>
      <c r="B116" s="30"/>
      <c r="C116" s="36"/>
      <c r="D116" s="36"/>
      <c r="E116" s="36"/>
      <c r="F116" s="30"/>
      <c r="G116" s="30"/>
      <c r="H116" s="30"/>
    </row>
    <row r="117" spans="1:8" ht="15">
      <c r="A117" s="37"/>
      <c r="B117" s="30"/>
      <c r="C117" s="36"/>
      <c r="D117" s="36"/>
      <c r="E117" s="36"/>
      <c r="F117" s="30"/>
      <c r="G117" s="30"/>
      <c r="H117" s="30"/>
    </row>
    <row r="118" spans="1:8" ht="15.75">
      <c r="A118" s="38"/>
      <c r="B118" s="288">
        <f>+B$6</f>
        <v>2018</v>
      </c>
      <c r="C118" s="288"/>
      <c r="D118" s="288"/>
      <c r="E118" s="289"/>
      <c r="F118" s="292">
        <f>+F$6</f>
        <v>2019</v>
      </c>
      <c r="G118" s="288"/>
      <c r="H118" s="288"/>
    </row>
    <row r="119" spans="1:8" ht="15.75">
      <c r="A119" s="38"/>
      <c r="B119" s="39" t="str">
        <f>+B$7</f>
        <v>1Q</v>
      </c>
      <c r="C119" s="39" t="str">
        <f aca="true" t="shared" si="18" ref="C119:H119">+C$7</f>
        <v>2Q</v>
      </c>
      <c r="D119" s="39" t="str">
        <f t="shared" si="18"/>
        <v>3Q</v>
      </c>
      <c r="E119" s="40" t="str">
        <f t="shared" si="18"/>
        <v>4Q</v>
      </c>
      <c r="F119" s="39" t="str">
        <f t="shared" si="18"/>
        <v>1Q</v>
      </c>
      <c r="G119" s="39" t="str">
        <f t="shared" si="18"/>
        <v>2Q</v>
      </c>
      <c r="H119" s="39" t="str">
        <f t="shared" si="18"/>
        <v>3Q</v>
      </c>
    </row>
    <row r="120" spans="1:8" ht="15">
      <c r="A120" s="41" t="str">
        <f>HLOOKUP(INDICE!$F$2,Nombres!$C$3:$D$636,33,FALSE)</f>
        <v>Net interest income</v>
      </c>
      <c r="B120" s="41">
        <v>644.3572141589559</v>
      </c>
      <c r="C120" s="41">
        <v>663.7855513662611</v>
      </c>
      <c r="D120" s="41">
        <v>679.1076207930631</v>
      </c>
      <c r="E120" s="42">
        <v>698.4719986799901</v>
      </c>
      <c r="F120" s="52">
        <v>698.5604842423271</v>
      </c>
      <c r="G120" s="52">
        <v>677.1078694615863</v>
      </c>
      <c r="H120" s="52">
        <v>659.6411282478066</v>
      </c>
    </row>
    <row r="121" spans="1:8" ht="15">
      <c r="A121" s="43" t="str">
        <f>HLOOKUP(INDICE!$F$2,Nombres!$C$3:$D$636,34,FALSE)</f>
        <v>Net fees and commissions</v>
      </c>
      <c r="B121" s="44">
        <v>181.59641580214247</v>
      </c>
      <c r="C121" s="44">
        <v>183.09713142582774</v>
      </c>
      <c r="D121" s="44">
        <v>170.0774381698285</v>
      </c>
      <c r="E121" s="45">
        <v>167.9568754186908</v>
      </c>
      <c r="F121" s="44">
        <v>171.20044075355435</v>
      </c>
      <c r="G121" s="44">
        <v>189.86627922985116</v>
      </c>
      <c r="H121" s="44">
        <v>187.48960415439078</v>
      </c>
    </row>
    <row r="122" spans="1:8" ht="15">
      <c r="A122" s="43" t="str">
        <f>HLOOKUP(INDICE!$F$2,Nombres!$C$3:$D$636,35,FALSE)</f>
        <v>Net trading income</v>
      </c>
      <c r="B122" s="44">
        <v>29.861787421759157</v>
      </c>
      <c r="C122" s="44">
        <v>28.866901123827944</v>
      </c>
      <c r="D122" s="44">
        <v>23.581788413319035</v>
      </c>
      <c r="E122" s="45">
        <v>45.212620011761814</v>
      </c>
      <c r="F122" s="44">
        <v>46.02330335551526</v>
      </c>
      <c r="G122" s="44">
        <v>43.57133863375544</v>
      </c>
      <c r="H122" s="44">
        <v>65.12288404768587</v>
      </c>
    </row>
    <row r="123" spans="1:8" ht="15">
      <c r="A123" s="43" t="str">
        <f>HLOOKUP(INDICE!$F$2,Nombres!$C$3:$D$636,36,FALSE)</f>
        <v>Other operating income and expenses</v>
      </c>
      <c r="B123" s="44">
        <v>3.1171909503781867</v>
      </c>
      <c r="C123" s="44">
        <v>1.9113400619118228</v>
      </c>
      <c r="D123" s="44">
        <v>-5.499444644892984</v>
      </c>
      <c r="E123" s="45">
        <v>10.728339698528425</v>
      </c>
      <c r="F123" s="44">
        <v>-3.1234013335006843</v>
      </c>
      <c r="G123" s="44">
        <v>1.5752450475023863</v>
      </c>
      <c r="H123" s="44">
        <v>3.7698360525009433</v>
      </c>
    </row>
    <row r="124" spans="1:8" ht="15">
      <c r="A124" s="41" t="str">
        <f>HLOOKUP(INDICE!$F$2,Nombres!$C$3:$D$636,37,FALSE)</f>
        <v>Gross income</v>
      </c>
      <c r="B124" s="41">
        <f>+SUM(B120:B123)</f>
        <v>858.9326083332356</v>
      </c>
      <c r="C124" s="41">
        <f aca="true" t="shared" si="19" ref="C124:H124">+SUM(C120:C123)</f>
        <v>877.6609239778286</v>
      </c>
      <c r="D124" s="41">
        <f t="shared" si="19"/>
        <v>867.2674027313177</v>
      </c>
      <c r="E124" s="42">
        <f t="shared" si="19"/>
        <v>922.3698338089711</v>
      </c>
      <c r="F124" s="52">
        <f t="shared" si="19"/>
        <v>912.6608270178959</v>
      </c>
      <c r="G124" s="52">
        <f t="shared" si="19"/>
        <v>912.1207323726952</v>
      </c>
      <c r="H124" s="52">
        <f t="shared" si="19"/>
        <v>916.0234525023842</v>
      </c>
    </row>
    <row r="125" spans="1:8" ht="15">
      <c r="A125" s="43" t="str">
        <f>HLOOKUP(INDICE!$F$2,Nombres!$C$3:$D$636,38,FALSE)</f>
        <v>Operating expenses</v>
      </c>
      <c r="B125" s="44">
        <v>-534.0627892369582</v>
      </c>
      <c r="C125" s="44">
        <v>-545.5618309649061</v>
      </c>
      <c r="D125" s="44">
        <v>-557.3027713846174</v>
      </c>
      <c r="E125" s="45">
        <v>-558.5211823524066</v>
      </c>
      <c r="F125" s="44">
        <v>-536.8420195427047</v>
      </c>
      <c r="G125" s="44">
        <v>-547.2724299780986</v>
      </c>
      <c r="H125" s="44">
        <v>-547.6724112251186</v>
      </c>
    </row>
    <row r="126" spans="1:8" ht="15">
      <c r="A126" s="43" t="str">
        <f>HLOOKUP(INDICE!$F$2,Nombres!$C$3:$D$636,39,FALSE)</f>
        <v>  Administration expenses</v>
      </c>
      <c r="B126" s="44">
        <v>-482.1444421403898</v>
      </c>
      <c r="C126" s="44">
        <v>-493.54553333672993</v>
      </c>
      <c r="D126" s="44">
        <v>-504.2168762925054</v>
      </c>
      <c r="E126" s="45">
        <v>-505.49741395271894</v>
      </c>
      <c r="F126" s="44">
        <v>-473.9476699232032</v>
      </c>
      <c r="G126" s="44">
        <v>-485.6817471556214</v>
      </c>
      <c r="H126" s="44">
        <v>-486.96432618939156</v>
      </c>
    </row>
    <row r="127" spans="1:8" ht="15">
      <c r="A127" s="46" t="str">
        <f>HLOOKUP(INDICE!$F$2,Nombres!$C$3:$D$636,40,FALSE)</f>
        <v>  Personnel expenses</v>
      </c>
      <c r="B127" s="44">
        <v>-309.344428770967</v>
      </c>
      <c r="C127" s="44">
        <v>-311.4295693212514</v>
      </c>
      <c r="D127" s="44">
        <v>-314.84412768566216</v>
      </c>
      <c r="E127" s="45">
        <v>-304.1359609190082</v>
      </c>
      <c r="F127" s="44">
        <v>-315.32813011452413</v>
      </c>
      <c r="G127" s="44">
        <v>-310.9738946897886</v>
      </c>
      <c r="H127" s="44">
        <v>-316.0095142617599</v>
      </c>
    </row>
    <row r="128" spans="1:8" ht="15">
      <c r="A128" s="46" t="str">
        <f>HLOOKUP(INDICE!$F$2,Nombres!$C$3:$D$636,41,FALSE)</f>
        <v>  General and administrative expenses</v>
      </c>
      <c r="B128" s="44">
        <v>-172.80001336942286</v>
      </c>
      <c r="C128" s="44">
        <v>-182.11596401547854</v>
      </c>
      <c r="D128" s="44">
        <v>-189.37274860684315</v>
      </c>
      <c r="E128" s="45">
        <v>-201.36145303371077</v>
      </c>
      <c r="F128" s="44">
        <v>-158.61953980867906</v>
      </c>
      <c r="G128" s="44">
        <v>-174.70785246583284</v>
      </c>
      <c r="H128" s="44">
        <v>-170.95481192763165</v>
      </c>
    </row>
    <row r="129" spans="1:8" ht="15">
      <c r="A129" s="43" t="str">
        <f>HLOOKUP(INDICE!$F$2,Nombres!$C$3:$D$636,42,FALSE)</f>
        <v>  Depreciation</v>
      </c>
      <c r="B129" s="44">
        <v>-51.918347096568425</v>
      </c>
      <c r="C129" s="44">
        <v>-52.01629762817612</v>
      </c>
      <c r="D129" s="44">
        <v>-53.08589509211196</v>
      </c>
      <c r="E129" s="45">
        <v>-53.02376839968777</v>
      </c>
      <c r="F129" s="44">
        <v>-62.894349619501526</v>
      </c>
      <c r="G129" s="44">
        <v>-61.59068282247712</v>
      </c>
      <c r="H129" s="44">
        <v>-60.70808503572708</v>
      </c>
    </row>
    <row r="130" spans="1:8" ht="15">
      <c r="A130" s="41" t="str">
        <f>HLOOKUP(INDICE!$F$2,Nombres!$C$3:$D$636,43,FALSE)</f>
        <v>Operating income</v>
      </c>
      <c r="B130" s="41">
        <f>+B124+B125</f>
        <v>324.8698190962774</v>
      </c>
      <c r="C130" s="41">
        <f aca="true" t="shared" si="20" ref="C130:H130">+C124+C125</f>
        <v>332.0990930129225</v>
      </c>
      <c r="D130" s="41">
        <f t="shared" si="20"/>
        <v>309.96463134670034</v>
      </c>
      <c r="E130" s="42">
        <f t="shared" si="20"/>
        <v>363.8486514565644</v>
      </c>
      <c r="F130" s="52">
        <f t="shared" si="20"/>
        <v>375.8188074751912</v>
      </c>
      <c r="G130" s="52">
        <f t="shared" si="20"/>
        <v>364.84830239459666</v>
      </c>
      <c r="H130" s="52">
        <f t="shared" si="20"/>
        <v>368.3510412772656</v>
      </c>
    </row>
    <row r="131" spans="1:8" ht="15">
      <c r="A131" s="43" t="str">
        <f>HLOOKUP(INDICE!$F$2,Nombres!$C$3:$D$636,44,FALSE)</f>
        <v>Impaiment on financial assets not measured at fair value through profit or loss</v>
      </c>
      <c r="B131" s="44">
        <v>-24.952688674581708</v>
      </c>
      <c r="C131" s="44">
        <v>-51.050205117213785</v>
      </c>
      <c r="D131" s="44">
        <v>-88.51497190985958</v>
      </c>
      <c r="E131" s="45">
        <v>-100.64062005448974</v>
      </c>
      <c r="F131" s="44">
        <v>-183.47354177250625</v>
      </c>
      <c r="G131" s="44">
        <v>-139.94482350143625</v>
      </c>
      <c r="H131" s="44">
        <v>-132.43423936122105</v>
      </c>
    </row>
    <row r="132" spans="1:8" ht="15">
      <c r="A132" s="43" t="str">
        <f>HLOOKUP(INDICE!$F$2,Nombres!$C$3:$D$636,45,FALSE)</f>
        <v>Provisions or reversal of provisions and other results</v>
      </c>
      <c r="B132" s="44">
        <v>9.76708402063413</v>
      </c>
      <c r="C132" s="44">
        <v>4.380908182961544</v>
      </c>
      <c r="D132" s="44">
        <v>1.9742645247946211</v>
      </c>
      <c r="E132" s="45">
        <v>3.108089335004859</v>
      </c>
      <c r="F132" s="44">
        <v>-11.103806000000175</v>
      </c>
      <c r="G132" s="44">
        <v>4.625766258002562</v>
      </c>
      <c r="H132" s="44">
        <v>11.652846438799076</v>
      </c>
    </row>
    <row r="133" spans="1:8" ht="15">
      <c r="A133" s="41" t="str">
        <f>HLOOKUP(INDICE!$F$2,Nombres!$C$3:$D$636,46,FALSE)</f>
        <v>Profit/(loss) before tax</v>
      </c>
      <c r="B133" s="41">
        <f>+B130+B131+B132</f>
        <v>309.6842144423298</v>
      </c>
      <c r="C133" s="41">
        <f aca="true" t="shared" si="21" ref="C133:H133">+C130+C131+C132</f>
        <v>285.4297960786702</v>
      </c>
      <c r="D133" s="41">
        <f t="shared" si="21"/>
        <v>223.42392396163538</v>
      </c>
      <c r="E133" s="42">
        <f t="shared" si="21"/>
        <v>266.31612073707953</v>
      </c>
      <c r="F133" s="52">
        <f t="shared" si="21"/>
        <v>181.24145970268478</v>
      </c>
      <c r="G133" s="52">
        <f t="shared" si="21"/>
        <v>229.52924515116297</v>
      </c>
      <c r="H133" s="52">
        <f t="shared" si="21"/>
        <v>247.56964835484365</v>
      </c>
    </row>
    <row r="134" spans="1:8" ht="15">
      <c r="A134" s="43" t="str">
        <f>HLOOKUP(INDICE!$F$2,Nombres!$C$3:$D$636,47,FALSE)</f>
        <v>Income tax</v>
      </c>
      <c r="B134" s="44">
        <v>-69.23309850599234</v>
      </c>
      <c r="C134" s="44">
        <v>-61.275625205964914</v>
      </c>
      <c r="D134" s="44">
        <v>-42.3960501648159</v>
      </c>
      <c r="E134" s="45">
        <v>-44.67359776535123</v>
      </c>
      <c r="F134" s="44">
        <v>-36.66750552413889</v>
      </c>
      <c r="G134" s="44">
        <v>-38.659370435366895</v>
      </c>
      <c r="H134" s="44">
        <v>-47.577385327543865</v>
      </c>
    </row>
    <row r="135" spans="1:8" ht="15">
      <c r="A135" s="41" t="str">
        <f>HLOOKUP(INDICE!$F$2,Nombres!$C$3:$D$636,48,FALSE)</f>
        <v>Profit/(loss) for the year</v>
      </c>
      <c r="B135" s="41">
        <f>+B133+B134</f>
        <v>240.45111593633743</v>
      </c>
      <c r="C135" s="41">
        <f aca="true" t="shared" si="22" ref="C135:H135">+C133+C134</f>
        <v>224.15417087270532</v>
      </c>
      <c r="D135" s="41">
        <f t="shared" si="22"/>
        <v>181.02787379681948</v>
      </c>
      <c r="E135" s="42">
        <f t="shared" si="22"/>
        <v>221.64252297172828</v>
      </c>
      <c r="F135" s="52">
        <f t="shared" si="22"/>
        <v>144.57395417854588</v>
      </c>
      <c r="G135" s="52">
        <f t="shared" si="22"/>
        <v>190.86987471579607</v>
      </c>
      <c r="H135" s="52">
        <f t="shared" si="22"/>
        <v>199.99226302729977</v>
      </c>
    </row>
    <row r="136" spans="1:8" ht="15">
      <c r="A136" s="43" t="str">
        <f>HLOOKUP(INDICE!$F$2,Nombres!$C$3:$D$636,49,FALSE)</f>
        <v>Non-controlling interests</v>
      </c>
      <c r="B136" s="44" t="s">
        <v>407</v>
      </c>
      <c r="C136" s="44" t="s">
        <v>407</v>
      </c>
      <c r="D136" s="44" t="s">
        <v>407</v>
      </c>
      <c r="E136" s="45" t="s">
        <v>407</v>
      </c>
      <c r="F136" s="44" t="s">
        <v>407</v>
      </c>
      <c r="G136" s="44" t="s">
        <v>407</v>
      </c>
      <c r="H136" s="44" t="s">
        <v>407</v>
      </c>
    </row>
    <row r="137" spans="1:8" ht="15">
      <c r="A137" s="47" t="str">
        <f>HLOOKUP(INDICE!$F$2,Nombres!$C$3:$D$636,50,FALSE)</f>
        <v>Net attributable profit</v>
      </c>
      <c r="B137" s="47">
        <f>+B135+B136</f>
        <v>240.45111593633743</v>
      </c>
      <c r="C137" s="47">
        <f aca="true" t="shared" si="23" ref="C137:H137">+C135+C136</f>
        <v>224.15417087270532</v>
      </c>
      <c r="D137" s="47">
        <f t="shared" si="23"/>
        <v>181.02787379681948</v>
      </c>
      <c r="E137" s="74">
        <f t="shared" si="23"/>
        <v>221.64252297172828</v>
      </c>
      <c r="F137" s="53">
        <f t="shared" si="23"/>
        <v>144.57395417854588</v>
      </c>
      <c r="G137" s="53">
        <f t="shared" si="23"/>
        <v>190.86987471579607</v>
      </c>
      <c r="H137" s="53">
        <f t="shared" si="23"/>
        <v>199.99226302729977</v>
      </c>
    </row>
    <row r="138" spans="1:8" ht="15">
      <c r="A138" s="65"/>
      <c r="B138" s="66">
        <v>0</v>
      </c>
      <c r="C138" s="66">
        <v>0</v>
      </c>
      <c r="D138" s="66">
        <v>0</v>
      </c>
      <c r="E138" s="66">
        <v>0</v>
      </c>
      <c r="F138" s="66">
        <v>0</v>
      </c>
      <c r="G138" s="66">
        <v>0</v>
      </c>
      <c r="H138" s="66">
        <v>0</v>
      </c>
    </row>
    <row r="139" spans="1:8" ht="15">
      <c r="A139" s="41"/>
      <c r="B139" s="41"/>
      <c r="C139" s="41"/>
      <c r="D139" s="41"/>
      <c r="E139" s="41"/>
      <c r="F139" s="52"/>
      <c r="G139" s="52"/>
      <c r="H139" s="52"/>
    </row>
    <row r="140" spans="1:8" ht="18">
      <c r="A140" s="33" t="str">
        <f>HLOOKUP(INDICE!$F$2,Nombres!$C$3:$D$636,51,FALSE)</f>
        <v>Balance sheets</v>
      </c>
      <c r="B140" s="34"/>
      <c r="C140" s="34"/>
      <c r="D140" s="34"/>
      <c r="E140" s="34"/>
      <c r="F140" s="72"/>
      <c r="G140" s="72"/>
      <c r="H140" s="72"/>
    </row>
    <row r="141" spans="1:8" ht="15">
      <c r="A141" s="35" t="str">
        <f>HLOOKUP(INDICE!$F$2,Nombres!$C$3:$D$636,76,FALSE)</f>
        <v>(Million dolars)</v>
      </c>
      <c r="B141" s="30"/>
      <c r="C141" s="54"/>
      <c r="D141" s="54"/>
      <c r="E141" s="54"/>
      <c r="F141" s="73"/>
      <c r="G141" s="44"/>
      <c r="H141" s="44"/>
    </row>
    <row r="142" spans="1:8" ht="15.75">
      <c r="A142" s="30"/>
      <c r="B142" s="55">
        <f aca="true" t="shared" si="24" ref="B142:H142">+B$30</f>
        <v>43190</v>
      </c>
      <c r="C142" s="55">
        <f t="shared" si="24"/>
        <v>43281</v>
      </c>
      <c r="D142" s="55">
        <f t="shared" si="24"/>
        <v>43373</v>
      </c>
      <c r="E142" s="71">
        <f t="shared" si="24"/>
        <v>43465</v>
      </c>
      <c r="F142" s="55">
        <f t="shared" si="24"/>
        <v>43555</v>
      </c>
      <c r="G142" s="55">
        <f t="shared" si="24"/>
        <v>43646</v>
      </c>
      <c r="H142" s="55">
        <f t="shared" si="24"/>
        <v>43738</v>
      </c>
    </row>
    <row r="143" spans="1:8" ht="15">
      <c r="A143" s="43" t="str">
        <f>HLOOKUP(INDICE!$F$2,Nombres!$C$3:$D$636,52,FALSE)</f>
        <v>Cash, cash balances at central banks and other demand deposits</v>
      </c>
      <c r="B143" s="44">
        <v>6053.4396738875985</v>
      </c>
      <c r="C143" s="44">
        <v>5426.512772505771</v>
      </c>
      <c r="D143" s="44">
        <v>5080.14510520272</v>
      </c>
      <c r="E143" s="45">
        <v>5536.20327309867</v>
      </c>
      <c r="F143" s="44">
        <v>7358.614514032319</v>
      </c>
      <c r="G143" s="44">
        <v>8539.386705501092</v>
      </c>
      <c r="H143" s="44">
        <v>8347.30295902519</v>
      </c>
    </row>
    <row r="144" spans="1:8" ht="15">
      <c r="A144" s="43" t="str">
        <f>HLOOKUP(INDICE!$F$2,Nombres!$C$3:$D$636,53,FALSE)</f>
        <v>Financial assets designated at fair value </v>
      </c>
      <c r="B144" s="60">
        <v>12335.544809036719</v>
      </c>
      <c r="C144" s="60">
        <v>12396.206313973282</v>
      </c>
      <c r="D144" s="60">
        <v>12183.311931618235</v>
      </c>
      <c r="E144" s="68">
        <v>12000.233016778839</v>
      </c>
      <c r="F144" s="44">
        <v>10481.835853605606</v>
      </c>
      <c r="G144" s="44">
        <v>11701.648745683497</v>
      </c>
      <c r="H144" s="44">
        <v>9087.733030757008</v>
      </c>
    </row>
    <row r="145" spans="1:8" ht="15">
      <c r="A145" s="43" t="str">
        <f>HLOOKUP(INDICE!$F$2,Nombres!$C$3:$D$636,54,FALSE)</f>
        <v>Financial assets at amortized cost</v>
      </c>
      <c r="B145" s="44">
        <v>67105.62260510433</v>
      </c>
      <c r="C145" s="44">
        <v>68746.19698174356</v>
      </c>
      <c r="D145" s="44">
        <v>70543.78204932304</v>
      </c>
      <c r="E145" s="45">
        <v>72752.611737172</v>
      </c>
      <c r="F145" s="44">
        <v>73733.76670940066</v>
      </c>
      <c r="G145" s="44">
        <v>73787.28146365746</v>
      </c>
      <c r="H145" s="44">
        <v>75507.30639008022</v>
      </c>
    </row>
    <row r="146" spans="1:8" ht="15">
      <c r="A146" s="43" t="str">
        <f>HLOOKUP(INDICE!$F$2,Nombres!$C$3:$D$636,55,FALSE)</f>
        <v>    of which loans and advances to customers</v>
      </c>
      <c r="B146" s="44">
        <v>64957.939821739674</v>
      </c>
      <c r="C146" s="44">
        <v>66420.89678006017</v>
      </c>
      <c r="D146" s="44">
        <v>67845.00165536848</v>
      </c>
      <c r="E146" s="45">
        <v>69625.52907728983</v>
      </c>
      <c r="F146" s="44">
        <v>68986.29136225572</v>
      </c>
      <c r="G146" s="44">
        <v>68428.01320754876</v>
      </c>
      <c r="H146" s="44">
        <v>68828.98426985356</v>
      </c>
    </row>
    <row r="147" spans="1:8" ht="15">
      <c r="A147" s="43" t="str">
        <f>HLOOKUP(INDICE!$F$2,Nombres!$C$3:$D$636,121,FALSE)</f>
        <v>Inter-area positions</v>
      </c>
      <c r="B147" s="44">
        <v>0</v>
      </c>
      <c r="C147" s="44">
        <v>0</v>
      </c>
      <c r="D147" s="44">
        <v>0</v>
      </c>
      <c r="E147" s="45">
        <v>0</v>
      </c>
      <c r="F147" s="44">
        <v>0</v>
      </c>
      <c r="G147" s="44">
        <v>0</v>
      </c>
      <c r="H147" s="44">
        <v>0</v>
      </c>
    </row>
    <row r="148" spans="1:8" ht="15">
      <c r="A148" s="43" t="str">
        <f>HLOOKUP(INDICE!$F$2,Nombres!$C$3:$D$636,56,FALSE)</f>
        <v>Tangible assets</v>
      </c>
      <c r="B148" s="60">
        <v>780.4247161856134</v>
      </c>
      <c r="C148" s="60">
        <v>770.9121406421226</v>
      </c>
      <c r="D148" s="60">
        <v>766.4789582986053</v>
      </c>
      <c r="E148" s="68">
        <v>765.4179790281693</v>
      </c>
      <c r="F148" s="44">
        <v>1069.9541090907555</v>
      </c>
      <c r="G148" s="44">
        <v>1052.823703182135</v>
      </c>
      <c r="H148" s="44">
        <v>1036.046698486124</v>
      </c>
    </row>
    <row r="149" spans="1:8" ht="15">
      <c r="A149" s="43" t="str">
        <f>HLOOKUP(INDICE!$F$2,Nombres!$C$3:$D$636,57,FALSE)</f>
        <v>Other assets</v>
      </c>
      <c r="B149" s="60">
        <f>+B150-B148-B145-B144-B143-B147</f>
        <v>2804.0006493170567</v>
      </c>
      <c r="C149" s="60">
        <f aca="true" t="shared" si="25" ref="C149:H149">+C150-C148-C145-C144-C143-C147</f>
        <v>2625.7862960199645</v>
      </c>
      <c r="D149" s="60">
        <f t="shared" si="25"/>
        <v>2758.9422438461906</v>
      </c>
      <c r="E149" s="68">
        <f t="shared" si="25"/>
        <v>2901.214312049333</v>
      </c>
      <c r="F149" s="44">
        <f t="shared" si="25"/>
        <v>3033.0382080383133</v>
      </c>
      <c r="G149" s="44">
        <f t="shared" si="25"/>
        <v>3047.018484906386</v>
      </c>
      <c r="H149" s="44">
        <f t="shared" si="25"/>
        <v>2640.099134023367</v>
      </c>
    </row>
    <row r="150" spans="1:8" ht="15">
      <c r="A150" s="47" t="str">
        <f>HLOOKUP(INDICE!$F$2,Nombres!$C$3:$D$636,58,FALSE)</f>
        <v>Total assets / Liabilities and equity</v>
      </c>
      <c r="B150" s="47">
        <v>89079.03245353133</v>
      </c>
      <c r="C150" s="47">
        <v>89965.6145048847</v>
      </c>
      <c r="D150" s="47">
        <v>91332.6602882888</v>
      </c>
      <c r="E150" s="74">
        <v>93955.68031812701</v>
      </c>
      <c r="F150" s="47">
        <v>95677.20939416766</v>
      </c>
      <c r="G150" s="53">
        <v>98128.15910293057</v>
      </c>
      <c r="H150" s="53">
        <v>96618.48821237191</v>
      </c>
    </row>
    <row r="151" spans="1:8" ht="15">
      <c r="A151" s="43" t="str">
        <f>HLOOKUP(INDICE!$F$2,Nombres!$C$3:$D$636,59,FALSE)</f>
        <v>Financial liabilities held for trading and designated at fair value through profit or loss</v>
      </c>
      <c r="B151" s="60">
        <v>211.84738708413525</v>
      </c>
      <c r="C151" s="60">
        <v>453.37747324488794</v>
      </c>
      <c r="D151" s="60">
        <v>353.582078494564</v>
      </c>
      <c r="E151" s="68">
        <v>268.3044545102718</v>
      </c>
      <c r="F151" s="44">
        <v>342.2447572844217</v>
      </c>
      <c r="G151" s="44">
        <v>1678.6704834742147</v>
      </c>
      <c r="H151" s="44">
        <v>270.8616972000062</v>
      </c>
    </row>
    <row r="152" spans="1:8" ht="15">
      <c r="A152" s="43" t="str">
        <f>HLOOKUP(INDICE!$F$2,Nombres!$C$3:$D$636,60,FALSE)</f>
        <v>Deposits from central banks and credit institutions</v>
      </c>
      <c r="B152" s="60">
        <v>3775.5000973359524</v>
      </c>
      <c r="C152" s="60">
        <v>3636.4773986336822</v>
      </c>
      <c r="D152" s="60">
        <v>5182.69035232724</v>
      </c>
      <c r="E152" s="68">
        <v>3858.8340115553465</v>
      </c>
      <c r="F152" s="44">
        <v>5291.553110086791</v>
      </c>
      <c r="G152" s="44">
        <v>5198.779713326666</v>
      </c>
      <c r="H152" s="44">
        <v>4409.354122350401</v>
      </c>
    </row>
    <row r="153" spans="1:8" ht="15">
      <c r="A153" s="43" t="str">
        <f>HLOOKUP(INDICE!$F$2,Nombres!$C$3:$D$636,61,FALSE)</f>
        <v>Deposits from customers</v>
      </c>
      <c r="B153" s="60">
        <v>71992.87570198937</v>
      </c>
      <c r="C153" s="60">
        <v>70768.90832264684</v>
      </c>
      <c r="D153" s="60">
        <v>70517.21148316386</v>
      </c>
      <c r="E153" s="68">
        <v>73155.20141018272</v>
      </c>
      <c r="F153" s="44">
        <v>73213.39737152078</v>
      </c>
      <c r="G153" s="44">
        <v>71832.92077190519</v>
      </c>
      <c r="H153" s="44">
        <v>73365.66213203478</v>
      </c>
    </row>
    <row r="154" spans="1:8" ht="15">
      <c r="A154" s="43" t="str">
        <f>HLOOKUP(INDICE!$F$2,Nombres!$C$3:$D$636,62,FALSE)</f>
        <v>Debt certificates</v>
      </c>
      <c r="B154" s="44">
        <v>2390.614036571212</v>
      </c>
      <c r="C154" s="44">
        <v>3762.4620882044355</v>
      </c>
      <c r="D154" s="44">
        <v>3736.0694307500326</v>
      </c>
      <c r="E154" s="45">
        <v>4121.023812760344</v>
      </c>
      <c r="F154" s="44">
        <v>3779.497921928377</v>
      </c>
      <c r="G154" s="44">
        <v>3848.9479250491527</v>
      </c>
      <c r="H154" s="44">
        <v>4040.189880820996</v>
      </c>
    </row>
    <row r="155" spans="1:8" ht="15">
      <c r="A155" s="43" t="str">
        <f>HLOOKUP(INDICE!$F$2,Nombres!$C$3:$D$636,122,FALSE)</f>
        <v>Inter-area positions</v>
      </c>
      <c r="B155" s="44">
        <v>654.7762863993266</v>
      </c>
      <c r="C155" s="44">
        <v>1482.2864329897857</v>
      </c>
      <c r="D155" s="44">
        <v>1397.7451306004514</v>
      </c>
      <c r="E155" s="45">
        <v>2205.7999942635797</v>
      </c>
      <c r="F155" s="44">
        <v>1951.0119080586446</v>
      </c>
      <c r="G155" s="44">
        <v>4275.715505396714</v>
      </c>
      <c r="H155" s="44">
        <v>3292.6156635795924</v>
      </c>
    </row>
    <row r="156" spans="1:8" ht="15">
      <c r="A156" s="43" t="str">
        <f>HLOOKUP(INDICE!$F$2,Nombres!$C$3:$D$636,63,FALSE)</f>
        <v>Other liabilities</v>
      </c>
      <c r="B156" s="44">
        <f>+B150-B151-B152-B153-B154-B157-B155</f>
        <v>6460.503301154952</v>
      </c>
      <c r="C156" s="44">
        <f aca="true" t="shared" si="26" ref="C156:H156">+C150-C151-C152-C153-C154-C157-C155</f>
        <v>6093.9320227680855</v>
      </c>
      <c r="D156" s="44">
        <f t="shared" si="26"/>
        <v>6174.793071194765</v>
      </c>
      <c r="E156" s="45">
        <f t="shared" si="26"/>
        <v>6473.296727622692</v>
      </c>
      <c r="F156" s="44">
        <f t="shared" si="26"/>
        <v>6963.2394882495755</v>
      </c>
      <c r="G156" s="44">
        <f t="shared" si="26"/>
        <v>7091.89477955809</v>
      </c>
      <c r="H156" s="44">
        <f t="shared" si="26"/>
        <v>7245.821986612771</v>
      </c>
    </row>
    <row r="157" spans="1:8" ht="15">
      <c r="A157" s="43" t="str">
        <f>HLOOKUP(INDICE!$F$2,Nombres!$C$3:$D$636,64,FALSE)</f>
        <v>Economic capital allocated</v>
      </c>
      <c r="B157" s="44">
        <v>3592.9156429963705</v>
      </c>
      <c r="C157" s="44">
        <v>3768.170766396978</v>
      </c>
      <c r="D157" s="44">
        <v>3970.568741757885</v>
      </c>
      <c r="E157" s="45">
        <v>3873.219907232051</v>
      </c>
      <c r="F157" s="44">
        <v>4136.264837039055</v>
      </c>
      <c r="G157" s="44">
        <v>4201.229924220538</v>
      </c>
      <c r="H157" s="44">
        <v>3993.9827297733773</v>
      </c>
    </row>
    <row r="158" spans="1:8" ht="15">
      <c r="A158" s="65"/>
      <c r="B158" s="60"/>
      <c r="C158" s="60"/>
      <c r="D158" s="60"/>
      <c r="E158" s="60"/>
      <c r="F158" s="44"/>
      <c r="G158" s="44"/>
      <c r="H158" s="44"/>
    </row>
    <row r="159" spans="1:8" ht="15">
      <c r="A159" s="43"/>
      <c r="B159" s="60"/>
      <c r="C159" s="60"/>
      <c r="D159" s="60"/>
      <c r="E159" s="60"/>
      <c r="F159" s="44"/>
      <c r="G159" s="44"/>
      <c r="H159" s="44"/>
    </row>
    <row r="160" spans="1:8" ht="18">
      <c r="A160" s="69" t="str">
        <f>HLOOKUP(INDICE!$F$2,Nombres!$C$3:$D$636,65,FALSE)</f>
        <v>Relevant business indicators</v>
      </c>
      <c r="B160" s="70"/>
      <c r="C160" s="70"/>
      <c r="D160" s="70"/>
      <c r="E160" s="70"/>
      <c r="F160" s="75"/>
      <c r="G160" s="75"/>
      <c r="H160" s="75"/>
    </row>
    <row r="161" spans="1:8" ht="15">
      <c r="A161" s="35" t="str">
        <f>HLOOKUP(INDICE!$F$2,Nombres!$C$3:$D$636,76,FALSE)</f>
        <v>(Million dolars)</v>
      </c>
      <c r="B161" s="30"/>
      <c r="C161" s="30"/>
      <c r="D161" s="30"/>
      <c r="E161" s="30"/>
      <c r="F161" s="73"/>
      <c r="G161" s="44"/>
      <c r="H161" s="44"/>
    </row>
    <row r="162" spans="1:8" ht="15.75" customHeight="1">
      <c r="A162" s="30"/>
      <c r="B162" s="55">
        <f aca="true" t="shared" si="27" ref="B162:H162">+B$30</f>
        <v>43190</v>
      </c>
      <c r="C162" s="55">
        <f t="shared" si="27"/>
        <v>43281</v>
      </c>
      <c r="D162" s="55">
        <f t="shared" si="27"/>
        <v>43373</v>
      </c>
      <c r="E162" s="71">
        <f t="shared" si="27"/>
        <v>43465</v>
      </c>
      <c r="F162" s="55">
        <f t="shared" si="27"/>
        <v>43555</v>
      </c>
      <c r="G162" s="55">
        <f t="shared" si="27"/>
        <v>43646</v>
      </c>
      <c r="H162" s="55">
        <f t="shared" si="27"/>
        <v>43738</v>
      </c>
    </row>
    <row r="163" spans="1:8" ht="15.75" customHeight="1">
      <c r="A163" s="43" t="str">
        <f>HLOOKUP(INDICE!$F$2,Nombres!$C$3:$D$636,66,FALSE)</f>
        <v>Loans and advances to customers (gross) (*)</v>
      </c>
      <c r="B163" s="44">
        <v>65840.49909544099</v>
      </c>
      <c r="C163" s="44">
        <v>66967.69536975682</v>
      </c>
      <c r="D163" s="44">
        <v>68676.49007636687</v>
      </c>
      <c r="E163" s="45">
        <v>70436.18716268855</v>
      </c>
      <c r="F163" s="44">
        <v>69875.51086926216</v>
      </c>
      <c r="G163" s="44">
        <v>69308.34393703859</v>
      </c>
      <c r="H163" s="44">
        <v>69656.76511743941</v>
      </c>
    </row>
    <row r="164" spans="1:8" ht="15.75" customHeight="1">
      <c r="A164" s="43" t="str">
        <f>HLOOKUP(INDICE!$F$2,Nombres!$C$3:$D$636,67,FALSE)</f>
        <v>Customer deposits under management (*)</v>
      </c>
      <c r="B164" s="44">
        <v>72105.38631451587</v>
      </c>
      <c r="C164" s="44">
        <v>70892.14578396559</v>
      </c>
      <c r="D164" s="44">
        <v>70513.3755988035</v>
      </c>
      <c r="E164" s="45">
        <v>73151.85099460476</v>
      </c>
      <c r="F164" s="44">
        <v>73210.80638136914</v>
      </c>
      <c r="G164" s="44">
        <v>71830.27653340425</v>
      </c>
      <c r="H164" s="44">
        <v>73363.07733391447</v>
      </c>
    </row>
    <row r="165" spans="1:8" ht="15.75" customHeight="1">
      <c r="A165" s="43" t="str">
        <f>HLOOKUP(INDICE!$F$2,Nombres!$C$3:$D$636,68,FALSE)</f>
        <v>Mutual funds</v>
      </c>
      <c r="B165" s="44" t="s">
        <v>407</v>
      </c>
      <c r="C165" s="44" t="s">
        <v>407</v>
      </c>
      <c r="D165" s="44" t="s">
        <v>407</v>
      </c>
      <c r="E165" s="45" t="s">
        <v>407</v>
      </c>
      <c r="F165" s="44" t="s">
        <v>407</v>
      </c>
      <c r="G165" s="44" t="s">
        <v>407</v>
      </c>
      <c r="H165" s="44" t="s">
        <v>407</v>
      </c>
    </row>
    <row r="166" spans="1:8" ht="15.75" customHeight="1">
      <c r="A166" s="43" t="str">
        <f>HLOOKUP(INDICE!$F$2,Nombres!$C$3:$D$636,69,FALSE)</f>
        <v>Pension funds</v>
      </c>
      <c r="B166" s="44" t="s">
        <v>407</v>
      </c>
      <c r="C166" s="44" t="s">
        <v>407</v>
      </c>
      <c r="D166" s="44" t="s">
        <v>407</v>
      </c>
      <c r="E166" s="45" t="s">
        <v>407</v>
      </c>
      <c r="F166" s="44" t="s">
        <v>407</v>
      </c>
      <c r="G166" s="44" t="s">
        <v>407</v>
      </c>
      <c r="H166" s="44" t="s">
        <v>407</v>
      </c>
    </row>
    <row r="167" spans="1:8" ht="15">
      <c r="A167" s="43" t="str">
        <f>HLOOKUP(INDICE!$F$2,Nombres!$C$3:$D$636,70,FALSE)</f>
        <v>Other off balance-sheet funds</v>
      </c>
      <c r="B167" s="44" t="s">
        <v>407</v>
      </c>
      <c r="C167" s="44" t="s">
        <v>407</v>
      </c>
      <c r="D167" s="44" t="s">
        <v>407</v>
      </c>
      <c r="E167" s="45" t="s">
        <v>407</v>
      </c>
      <c r="F167" s="44" t="s">
        <v>407</v>
      </c>
      <c r="G167" s="44" t="s">
        <v>407</v>
      </c>
      <c r="H167" s="44" t="s">
        <v>407</v>
      </c>
    </row>
    <row r="168" spans="1:8" ht="15">
      <c r="A168" s="65" t="str">
        <f>HLOOKUP(INDICE!$F$2,Nombres!$C$3:$D$636,71,FALSE)</f>
        <v>(*) Excluding repos. </v>
      </c>
      <c r="B168" s="60"/>
      <c r="C168" s="60"/>
      <c r="D168" s="60"/>
      <c r="E168" s="60"/>
      <c r="F168" s="60"/>
      <c r="G168" s="60"/>
      <c r="H168" s="60"/>
    </row>
    <row r="169" spans="1:8" ht="15">
      <c r="A169" s="76">
        <f>HLOOKUP(INDICE!$F$2,Nombres!$C$3:$D$636,72,FALSE)</f>
        <v>0</v>
      </c>
      <c r="B169" s="30"/>
      <c r="C169" s="30"/>
      <c r="D169" s="30"/>
      <c r="E169" s="30"/>
      <c r="F169" s="30"/>
      <c r="G169" s="30"/>
      <c r="H169" s="30"/>
    </row>
    <row r="170" spans="1:8" ht="15">
      <c r="A170" s="30"/>
      <c r="B170" s="30"/>
      <c r="C170" s="30"/>
      <c r="D170" s="30"/>
      <c r="E170" s="30"/>
      <c r="F170" s="30"/>
      <c r="G170" s="30"/>
      <c r="H170" s="30"/>
    </row>
    <row r="171" spans="1:8" ht="15">
      <c r="A171" s="30"/>
      <c r="B171" s="30"/>
      <c r="C171" s="30"/>
      <c r="D171" s="30"/>
      <c r="E171" s="30"/>
      <c r="F171" s="30"/>
      <c r="G171" s="30"/>
      <c r="H171" s="30"/>
    </row>
    <row r="172" spans="1:8" ht="15">
      <c r="A172" s="77"/>
      <c r="B172" s="78"/>
      <c r="C172" s="79"/>
      <c r="D172" s="79"/>
      <c r="E172" s="79"/>
      <c r="F172" s="78"/>
      <c r="G172" s="78"/>
      <c r="H172" s="78"/>
    </row>
    <row r="173" spans="1:14" ht="15">
      <c r="A173" s="77"/>
      <c r="B173" s="78"/>
      <c r="C173" s="79"/>
      <c r="D173" s="79"/>
      <c r="E173" s="79"/>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75" spans="1:14" ht="15">
      <c r="A175" s="78"/>
      <c r="B175" s="78"/>
      <c r="C175" s="78"/>
      <c r="D175" s="78"/>
      <c r="E175" s="78"/>
      <c r="F175" s="78"/>
      <c r="G175" s="78"/>
      <c r="H175" s="78"/>
      <c r="I175" s="78"/>
      <c r="J175" s="78"/>
      <c r="K175" s="78"/>
      <c r="L175" s="78"/>
      <c r="M175" s="78"/>
      <c r="N175" s="78"/>
    </row>
    <row r="176" spans="1:14" ht="15">
      <c r="A176" s="78"/>
      <c r="B176" s="78"/>
      <c r="C176" s="78"/>
      <c r="D176" s="78"/>
      <c r="E176" s="78"/>
      <c r="F176" s="78"/>
      <c r="G176" s="78"/>
      <c r="H176" s="78"/>
      <c r="I176" s="78"/>
      <c r="J176" s="78"/>
      <c r="K176" s="78"/>
      <c r="L176" s="78"/>
      <c r="M176" s="78"/>
      <c r="N176" s="78"/>
    </row>
    <row r="177" spans="1:14" ht="15">
      <c r="A177" s="78"/>
      <c r="B177" s="78"/>
      <c r="C177" s="78"/>
      <c r="D177" s="78"/>
      <c r="E177" s="78"/>
      <c r="F177" s="78"/>
      <c r="G177" s="78"/>
      <c r="H177" s="78"/>
      <c r="I177" s="78"/>
      <c r="J177" s="78"/>
      <c r="K177" s="78"/>
      <c r="L177" s="78"/>
      <c r="M177" s="78"/>
      <c r="N177" s="78"/>
    </row>
    <row r="178" spans="1:14" ht="15">
      <c r="A178" s="78"/>
      <c r="B178" s="78"/>
      <c r="C178" s="78"/>
      <c r="D178" s="78"/>
      <c r="E178" s="78"/>
      <c r="F178" s="78"/>
      <c r="G178" s="78"/>
      <c r="H178" s="78"/>
      <c r="I178" s="78"/>
      <c r="J178" s="78"/>
      <c r="K178" s="78"/>
      <c r="L178" s="78"/>
      <c r="M178" s="78"/>
      <c r="N178" s="78"/>
    </row>
    <row r="179" spans="1:14" ht="15">
      <c r="A179" s="78"/>
      <c r="B179" s="78"/>
      <c r="C179" s="78"/>
      <c r="D179" s="78"/>
      <c r="E179" s="78"/>
      <c r="F179" s="78"/>
      <c r="G179" s="78"/>
      <c r="H179" s="78"/>
      <c r="I179" s="78"/>
      <c r="J179" s="78"/>
      <c r="K179" s="78"/>
      <c r="L179" s="78"/>
      <c r="M179" s="78"/>
      <c r="N179" s="78"/>
    </row>
    <row r="180" spans="1:14" ht="15">
      <c r="A180" s="78"/>
      <c r="B180" s="78"/>
      <c r="C180" s="78"/>
      <c r="D180" s="78"/>
      <c r="E180" s="78"/>
      <c r="F180" s="78"/>
      <c r="G180" s="78"/>
      <c r="H180" s="78"/>
      <c r="I180" s="78"/>
      <c r="J180" s="78"/>
      <c r="K180" s="78"/>
      <c r="L180" s="78"/>
      <c r="M180" s="78"/>
      <c r="N180" s="78"/>
    </row>
    <row r="1000" ht="15">
      <c r="A1000" s="31" t="s">
        <v>406</v>
      </c>
    </row>
  </sheetData>
  <sheetProtection/>
  <mergeCells count="6">
    <mergeCell ref="B6:E6"/>
    <mergeCell ref="B62:E62"/>
    <mergeCell ref="B118:E118"/>
    <mergeCell ref="F6:H6"/>
    <mergeCell ref="F62:H62"/>
    <mergeCell ref="F118:H118"/>
  </mergeCells>
  <conditionalFormatting sqref="B26:H26">
    <cfRule type="cellIs" priority="3" dxfId="92" operator="notBetween">
      <formula>0.5</formula>
      <formula>-0.5</formula>
    </cfRule>
  </conditionalFormatting>
  <conditionalFormatting sqref="B82:H82">
    <cfRule type="cellIs" priority="2" dxfId="92" operator="notBetween">
      <formula>0.5</formula>
      <formula>-0.5</formula>
    </cfRule>
  </conditionalFormatting>
  <conditionalFormatting sqref="B138:H138">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8" ht="18">
      <c r="A1" s="29" t="str">
        <f>HLOOKUP(INDICE!$F$2,Nombres!$C$3:$D$636,11,FALSE)</f>
        <v>Mexico</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1317.3236620400007</v>
      </c>
      <c r="C8" s="41">
        <v>1330.8436849400002</v>
      </c>
      <c r="D8" s="41">
        <v>1461.5178269299995</v>
      </c>
      <c r="E8" s="42">
        <v>1458.2944071000006</v>
      </c>
      <c r="F8" s="52">
        <v>1499.8589109600002</v>
      </c>
      <c r="G8" s="52">
        <v>1542.5496169999994</v>
      </c>
      <c r="H8" s="52">
        <v>1556.4021001899998</v>
      </c>
    </row>
    <row r="9" spans="1:8" ht="15">
      <c r="A9" s="43" t="str">
        <f>HLOOKUP(INDICE!$F$2,Nombres!$C$3:$D$636,34,FALSE)</f>
        <v>Net fees and commissions</v>
      </c>
      <c r="B9" s="44">
        <v>281.01796609</v>
      </c>
      <c r="C9" s="44">
        <v>307.79259768</v>
      </c>
      <c r="D9" s="44">
        <v>311.3025096299999</v>
      </c>
      <c r="E9" s="45">
        <v>304.41850095</v>
      </c>
      <c r="F9" s="44">
        <v>300.32462795</v>
      </c>
      <c r="G9" s="44">
        <v>320.83698025</v>
      </c>
      <c r="H9" s="44">
        <v>330.60007094999986</v>
      </c>
    </row>
    <row r="10" spans="1:8" ht="15">
      <c r="A10" s="43" t="str">
        <f>HLOOKUP(INDICE!$F$2,Nombres!$C$3:$D$636,35,FALSE)</f>
        <v>Net trading income</v>
      </c>
      <c r="B10" s="44">
        <v>67.47199997000001</v>
      </c>
      <c r="C10" s="44">
        <v>76.58460524</v>
      </c>
      <c r="D10" s="44">
        <v>54.777617650000025</v>
      </c>
      <c r="E10" s="45">
        <v>24.528743959999986</v>
      </c>
      <c r="F10" s="44">
        <v>62.501816569999995</v>
      </c>
      <c r="G10" s="44">
        <v>72.89898387</v>
      </c>
      <c r="H10" s="44">
        <v>105.77084269</v>
      </c>
    </row>
    <row r="11" spans="1:8" ht="15">
      <c r="A11" s="43" t="str">
        <f>HLOOKUP(INDICE!$F$2,Nombres!$C$3:$D$636,36,FALSE)</f>
        <v>Other operating income and expenses</v>
      </c>
      <c r="B11" s="44">
        <v>44.697</v>
      </c>
      <c r="C11" s="44">
        <v>38.943000019999985</v>
      </c>
      <c r="D11" s="44">
        <v>47.41299996000001</v>
      </c>
      <c r="E11" s="45">
        <v>65.99300000999999</v>
      </c>
      <c r="F11" s="44">
        <v>39.735</v>
      </c>
      <c r="G11" s="44">
        <v>61.942000020000016</v>
      </c>
      <c r="H11" s="44">
        <v>18.915999969999923</v>
      </c>
    </row>
    <row r="12" spans="1:8" ht="15">
      <c r="A12" s="41" t="str">
        <f>HLOOKUP(INDICE!$F$2,Nombres!$C$3:$D$636,37,FALSE)</f>
        <v>Gross income</v>
      </c>
      <c r="B12" s="41">
        <f>+SUM(B8:B11)</f>
        <v>1710.5106281000008</v>
      </c>
      <c r="C12" s="41">
        <f aca="true" t="shared" si="0" ref="C12:H12">+SUM(C8:C11)</f>
        <v>1754.1638878800002</v>
      </c>
      <c r="D12" s="41">
        <f t="shared" si="0"/>
        <v>1875.0109541699994</v>
      </c>
      <c r="E12" s="42">
        <f t="shared" si="0"/>
        <v>1853.2346520200006</v>
      </c>
      <c r="F12" s="52">
        <f t="shared" si="0"/>
        <v>1902.4203554800001</v>
      </c>
      <c r="G12" s="52">
        <f t="shared" si="0"/>
        <v>1998.2275811399993</v>
      </c>
      <c r="H12" s="52">
        <f t="shared" si="0"/>
        <v>2011.6890137999999</v>
      </c>
    </row>
    <row r="13" spans="1:8" ht="15">
      <c r="A13" s="43" t="str">
        <f>HLOOKUP(INDICE!$F$2,Nombres!$C$3:$D$636,38,FALSE)</f>
        <v>Operating expenses</v>
      </c>
      <c r="B13" s="44">
        <v>-572.7709884799999</v>
      </c>
      <c r="C13" s="44">
        <v>-583.2132529500001</v>
      </c>
      <c r="D13" s="44">
        <v>-621.38022985</v>
      </c>
      <c r="E13" s="45">
        <v>-615.0900858699999</v>
      </c>
      <c r="F13" s="44">
        <v>-634.29740855</v>
      </c>
      <c r="G13" s="44">
        <v>-655.69643576</v>
      </c>
      <c r="H13" s="44">
        <v>-668.08711059</v>
      </c>
    </row>
    <row r="14" spans="1:8" ht="15">
      <c r="A14" s="43" t="str">
        <f>HLOOKUP(INDICE!$F$2,Nombres!$C$3:$D$636,39,FALSE)</f>
        <v>  Administration expenses</v>
      </c>
      <c r="B14" s="44">
        <v>-512.27306825</v>
      </c>
      <c r="C14" s="44">
        <v>-521.89921407</v>
      </c>
      <c r="D14" s="44">
        <v>-555.3099908300001</v>
      </c>
      <c r="E14" s="45">
        <v>-549.92524979</v>
      </c>
      <c r="F14" s="44">
        <v>-550.2542819</v>
      </c>
      <c r="G14" s="44">
        <v>-567.64142173</v>
      </c>
      <c r="H14" s="44">
        <v>-580.3107506000001</v>
      </c>
    </row>
    <row r="15" spans="1:8" ht="15">
      <c r="A15" s="46" t="str">
        <f>HLOOKUP(INDICE!$F$2,Nombres!$C$3:$D$636,40,FALSE)</f>
        <v>  Personnel expenses</v>
      </c>
      <c r="B15" s="44">
        <v>-246.43299549</v>
      </c>
      <c r="C15" s="44">
        <v>-251.91825740999997</v>
      </c>
      <c r="D15" s="44">
        <v>-262.62799469</v>
      </c>
      <c r="E15" s="45">
        <v>-262.94573956</v>
      </c>
      <c r="F15" s="44">
        <v>-269.04368953000005</v>
      </c>
      <c r="G15" s="44">
        <v>-278.79847452</v>
      </c>
      <c r="H15" s="44">
        <v>-284.20660512</v>
      </c>
    </row>
    <row r="16" spans="1:8" ht="15">
      <c r="A16" s="46" t="str">
        <f>HLOOKUP(INDICE!$F$2,Nombres!$C$3:$D$636,41,FALSE)</f>
        <v>  General and administrative expenses</v>
      </c>
      <c r="B16" s="44">
        <v>-265.84007276</v>
      </c>
      <c r="C16" s="44">
        <v>-269.98095666</v>
      </c>
      <c r="D16" s="44">
        <v>-292.68199614</v>
      </c>
      <c r="E16" s="45">
        <v>-286.97951022999996</v>
      </c>
      <c r="F16" s="44">
        <v>-281.21059237</v>
      </c>
      <c r="G16" s="44">
        <v>-288.84294721</v>
      </c>
      <c r="H16" s="44">
        <v>-296.10414548</v>
      </c>
    </row>
    <row r="17" spans="1:8" ht="15">
      <c r="A17" s="43" t="str">
        <f>HLOOKUP(INDICE!$F$2,Nombres!$C$3:$D$636,42,FALSE)</f>
        <v>  Depreciation</v>
      </c>
      <c r="B17" s="44">
        <v>-60.49792023</v>
      </c>
      <c r="C17" s="44">
        <v>-61.31403888</v>
      </c>
      <c r="D17" s="44">
        <v>-66.07023902</v>
      </c>
      <c r="E17" s="45">
        <v>-65.16483608</v>
      </c>
      <c r="F17" s="44">
        <v>-84.04312665</v>
      </c>
      <c r="G17" s="44">
        <v>-88.05501403</v>
      </c>
      <c r="H17" s="44">
        <v>-87.77635998999999</v>
      </c>
    </row>
    <row r="18" spans="1:8" ht="15">
      <c r="A18" s="41" t="str">
        <f>HLOOKUP(INDICE!$F$2,Nombres!$C$3:$D$636,43,FALSE)</f>
        <v>Operating income</v>
      </c>
      <c r="B18" s="41">
        <f>+B12+B13</f>
        <v>1137.7396396200008</v>
      </c>
      <c r="C18" s="41">
        <f aca="true" t="shared" si="1" ref="C18:H18">+C12+C13</f>
        <v>1170.95063493</v>
      </c>
      <c r="D18" s="41">
        <f t="shared" si="1"/>
        <v>1253.6307243199994</v>
      </c>
      <c r="E18" s="42">
        <f t="shared" si="1"/>
        <v>1238.1445661500006</v>
      </c>
      <c r="F18" s="52">
        <f t="shared" si="1"/>
        <v>1268.1229469300001</v>
      </c>
      <c r="G18" s="52">
        <f t="shared" si="1"/>
        <v>1342.5311453799993</v>
      </c>
      <c r="H18" s="52">
        <f t="shared" si="1"/>
        <v>1343.6019032099998</v>
      </c>
    </row>
    <row r="19" spans="1:8" ht="15">
      <c r="A19" s="43" t="str">
        <f>HLOOKUP(INDICE!$F$2,Nombres!$C$3:$D$636,44,FALSE)</f>
        <v>Impaiment on financial assets not measured at fair value through profit or loss</v>
      </c>
      <c r="B19" s="44">
        <v>-376.85400001999994</v>
      </c>
      <c r="C19" s="44">
        <v>-331.07899997000004</v>
      </c>
      <c r="D19" s="44">
        <v>-347.25400001</v>
      </c>
      <c r="E19" s="45">
        <v>-499.78099997000004</v>
      </c>
      <c r="F19" s="44">
        <v>-394.57000006000004</v>
      </c>
      <c r="G19" s="44">
        <v>-423.17699991000006</v>
      </c>
      <c r="H19" s="44">
        <v>-420.34600001</v>
      </c>
    </row>
    <row r="20" spans="1:8" ht="15">
      <c r="A20" s="43" t="str">
        <f>HLOOKUP(INDICE!$F$2,Nombres!$C$3:$D$636,45,FALSE)</f>
        <v>Provisions or reversal of provisions and other results</v>
      </c>
      <c r="B20" s="44">
        <v>20.724999999999998</v>
      </c>
      <c r="C20" s="44">
        <v>32.900999999999996</v>
      </c>
      <c r="D20" s="44">
        <v>-21.59300001</v>
      </c>
      <c r="E20" s="45">
        <v>-8.39099995</v>
      </c>
      <c r="F20" s="44">
        <v>3.700000010000003</v>
      </c>
      <c r="G20" s="44">
        <v>-13.232</v>
      </c>
      <c r="H20" s="44">
        <v>-4.615999969999999</v>
      </c>
    </row>
    <row r="21" spans="1:8" ht="15">
      <c r="A21" s="41" t="str">
        <f>HLOOKUP(INDICE!$F$2,Nombres!$C$3:$D$636,46,FALSE)</f>
        <v>Profit/(loss) before tax</v>
      </c>
      <c r="B21" s="41">
        <f>+B18+B19+B20</f>
        <v>781.6106396000009</v>
      </c>
      <c r="C21" s="41">
        <f aca="true" t="shared" si="2" ref="C21:H21">+C18+C19+C20</f>
        <v>872.7726349599999</v>
      </c>
      <c r="D21" s="41">
        <f t="shared" si="2"/>
        <v>884.7837242999994</v>
      </c>
      <c r="E21" s="42">
        <f t="shared" si="2"/>
        <v>729.9725662300006</v>
      </c>
      <c r="F21" s="52">
        <f t="shared" si="2"/>
        <v>877.2529468800002</v>
      </c>
      <c r="G21" s="52">
        <f t="shared" si="2"/>
        <v>906.1221454699993</v>
      </c>
      <c r="H21" s="52">
        <f t="shared" si="2"/>
        <v>918.6399032299998</v>
      </c>
    </row>
    <row r="22" spans="1:8" ht="15">
      <c r="A22" s="43" t="str">
        <f>HLOOKUP(INDICE!$F$2,Nombres!$C$3:$D$636,47,FALSE)</f>
        <v>Income tax</v>
      </c>
      <c r="B22" s="44">
        <v>-214.31036086999995</v>
      </c>
      <c r="C22" s="44">
        <v>-240.15824013999998</v>
      </c>
      <c r="D22" s="44">
        <v>-246.69458757999996</v>
      </c>
      <c r="E22" s="45">
        <v>-200.27209829000003</v>
      </c>
      <c r="F22" s="44">
        <v>-250.01219603999996</v>
      </c>
      <c r="G22" s="44">
        <v>-246.48346131000005</v>
      </c>
      <c r="H22" s="44">
        <v>-240.26518162</v>
      </c>
    </row>
    <row r="23" spans="1:8" ht="15">
      <c r="A23" s="41" t="str">
        <f>HLOOKUP(INDICE!$F$2,Nombres!$C$3:$D$636,48,FALSE)</f>
        <v>Profit/(loss) for the year</v>
      </c>
      <c r="B23" s="41">
        <f>+B21+B22</f>
        <v>567.300278730001</v>
      </c>
      <c r="C23" s="41">
        <f aca="true" t="shared" si="3" ref="C23:H23">+C21+C22</f>
        <v>632.6143948199999</v>
      </c>
      <c r="D23" s="41">
        <f t="shared" si="3"/>
        <v>638.0891367199995</v>
      </c>
      <c r="E23" s="42">
        <f t="shared" si="3"/>
        <v>529.7004679400005</v>
      </c>
      <c r="F23" s="52">
        <f t="shared" si="3"/>
        <v>627.2407508400003</v>
      </c>
      <c r="G23" s="52">
        <f t="shared" si="3"/>
        <v>659.6386841599992</v>
      </c>
      <c r="H23" s="52">
        <f t="shared" si="3"/>
        <v>678.3747216099998</v>
      </c>
    </row>
    <row r="24" spans="1:8" ht="15">
      <c r="A24" s="43" t="str">
        <f>HLOOKUP(INDICE!$F$2,Nombres!$C$3:$D$636,49,FALSE)</f>
        <v>Non-controlling interests</v>
      </c>
      <c r="B24" s="44">
        <v>-0.099</v>
      </c>
      <c r="C24" s="44">
        <v>-0.116</v>
      </c>
      <c r="D24" s="44">
        <v>-0.11699999999999999</v>
      </c>
      <c r="E24" s="45">
        <v>-0.10099999999999998</v>
      </c>
      <c r="F24" s="44">
        <v>-0.11299999999999999</v>
      </c>
      <c r="G24" s="44">
        <v>-0.128</v>
      </c>
      <c r="H24" s="44">
        <v>-0.119</v>
      </c>
    </row>
    <row r="25" spans="1:8" ht="15">
      <c r="A25" s="47" t="str">
        <f>HLOOKUP(INDICE!$F$2,Nombres!$C$3:$D$636,50,FALSE)</f>
        <v>Net attributable profit</v>
      </c>
      <c r="B25" s="47">
        <f>+B23+B24</f>
        <v>567.2012787300009</v>
      </c>
      <c r="C25" s="47">
        <f aca="true" t="shared" si="4" ref="C25:H25">+C23+C24</f>
        <v>632.4983948199999</v>
      </c>
      <c r="D25" s="47">
        <f t="shared" si="4"/>
        <v>637.9721367199995</v>
      </c>
      <c r="E25" s="47">
        <f t="shared" si="4"/>
        <v>529.5994679400005</v>
      </c>
      <c r="F25" s="53">
        <f t="shared" si="4"/>
        <v>627.1277508400002</v>
      </c>
      <c r="G25" s="53">
        <f t="shared" si="4"/>
        <v>659.5106841599992</v>
      </c>
      <c r="H25" s="53">
        <f t="shared" si="4"/>
        <v>678.2557216099998</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7748.785000000001</v>
      </c>
      <c r="C31" s="44">
        <v>5928.087</v>
      </c>
      <c r="D31" s="44">
        <v>6225.0340000000015</v>
      </c>
      <c r="E31" s="45">
        <v>8273.75700002</v>
      </c>
      <c r="F31" s="44">
        <v>8678.05499999</v>
      </c>
      <c r="G31" s="44">
        <v>10051.260000000002</v>
      </c>
      <c r="H31" s="44">
        <v>6831.139999999999</v>
      </c>
    </row>
    <row r="32" spans="1:8" ht="15">
      <c r="A32" s="43" t="str">
        <f>HLOOKUP(INDICE!$F$2,Nombres!$C$3:$D$636,53,FALSE)</f>
        <v>Financial assets designated at fair value </v>
      </c>
      <c r="B32" s="60">
        <v>27930.477</v>
      </c>
      <c r="C32" s="60">
        <v>28292.69400001</v>
      </c>
      <c r="D32" s="60">
        <v>26954.857000000004</v>
      </c>
      <c r="E32" s="68">
        <v>26022.014000000003</v>
      </c>
      <c r="F32" s="44">
        <v>26193.015000000003</v>
      </c>
      <c r="G32" s="44">
        <v>28405.322999990003</v>
      </c>
      <c r="H32" s="44">
        <v>30669.01300002</v>
      </c>
    </row>
    <row r="33" spans="1:8" ht="15">
      <c r="A33" s="43" t="str">
        <f>HLOOKUP(INDICE!$F$2,Nombres!$C$3:$D$636,54,FALSE)</f>
        <v>Financial assets at amortized cost</v>
      </c>
      <c r="B33" s="44">
        <v>53233.026000059996</v>
      </c>
      <c r="C33" s="44">
        <v>55871.23600001</v>
      </c>
      <c r="D33" s="44">
        <v>58814.56699997</v>
      </c>
      <c r="E33" s="45">
        <v>57708.93799996999</v>
      </c>
      <c r="F33" s="44">
        <v>60754.00099999</v>
      </c>
      <c r="G33" s="44">
        <v>61510.06199996</v>
      </c>
      <c r="H33" s="44">
        <v>64579.616000019996</v>
      </c>
    </row>
    <row r="34" spans="1:8" ht="15">
      <c r="A34" s="43" t="str">
        <f>HLOOKUP(INDICE!$F$2,Nombres!$C$3:$D$636,55,FALSE)</f>
        <v>    of which loans and advances to customers</v>
      </c>
      <c r="B34" s="44">
        <v>47246.565000030016</v>
      </c>
      <c r="C34" s="44">
        <v>49498.15300000999</v>
      </c>
      <c r="D34" s="44">
        <v>52038.66099998</v>
      </c>
      <c r="E34" s="45">
        <v>51101.48799995</v>
      </c>
      <c r="F34" s="44">
        <v>53479.972999980004</v>
      </c>
      <c r="G34" s="44">
        <v>54431.906999950006</v>
      </c>
      <c r="H34" s="44">
        <v>56510.21200001</v>
      </c>
    </row>
    <row r="35" spans="1:8" ht="15">
      <c r="A35" s="43" t="str">
        <f>HLOOKUP(INDICE!$F$2,Nombres!$C$3:$D$636,56,FALSE)</f>
        <v>Tangible assets</v>
      </c>
      <c r="B35" s="44">
        <v>1790.8919999999998</v>
      </c>
      <c r="C35" s="44">
        <v>1734.483</v>
      </c>
      <c r="D35" s="44">
        <v>1803.558</v>
      </c>
      <c r="E35" s="45">
        <v>1787.9389999900002</v>
      </c>
      <c r="F35" s="44">
        <v>2029.4470000100002</v>
      </c>
      <c r="G35" s="44">
        <v>2020.4779999999998</v>
      </c>
      <c r="H35" s="44">
        <v>1996.9530000000002</v>
      </c>
    </row>
    <row r="36" spans="1:8" ht="15">
      <c r="A36" s="43" t="str">
        <f>HLOOKUP(INDICE!$F$2,Nombres!$C$3:$D$636,57,FALSE)</f>
        <v>Other assets</v>
      </c>
      <c r="B36" s="60">
        <f>+B37-B35-B33-B32-B31</f>
        <v>3574.471311540011</v>
      </c>
      <c r="C36" s="60">
        <f aca="true" t="shared" si="5" ref="C36:H36">+C37-C35-C33-C32-C31</f>
        <v>3772.906432389994</v>
      </c>
      <c r="D36" s="60">
        <f t="shared" si="5"/>
        <v>3309.0363845900047</v>
      </c>
      <c r="E36" s="68">
        <f t="shared" si="5"/>
        <v>3639.2140893400065</v>
      </c>
      <c r="F36" s="44">
        <f t="shared" si="5"/>
        <v>4083.0521499099996</v>
      </c>
      <c r="G36" s="44">
        <f t="shared" si="5"/>
        <v>3379.0760001499984</v>
      </c>
      <c r="H36" s="44">
        <f t="shared" si="5"/>
        <v>3054.4253709399563</v>
      </c>
    </row>
    <row r="37" spans="1:8" ht="15">
      <c r="A37" s="47" t="str">
        <f>HLOOKUP(INDICE!$F$2,Nombres!$C$3:$D$636,58,FALSE)</f>
        <v>Total assets / Liabilities and equity</v>
      </c>
      <c r="B37" s="47">
        <v>94277.65131160001</v>
      </c>
      <c r="C37" s="47">
        <v>95599.40643240999</v>
      </c>
      <c r="D37" s="47">
        <v>97107.05238456001</v>
      </c>
      <c r="E37" s="74">
        <v>97431.86208932</v>
      </c>
      <c r="F37" s="47">
        <v>101737.5701499</v>
      </c>
      <c r="G37" s="53">
        <v>105366.19900010001</v>
      </c>
      <c r="H37" s="53">
        <v>107131.14737097995</v>
      </c>
    </row>
    <row r="38" spans="1:8" ht="15">
      <c r="A38" s="43" t="str">
        <f>HLOOKUP(INDICE!$F$2,Nombres!$C$3:$D$636,59,FALSE)</f>
        <v>Financial liabilities held for trading and designated at fair value through profit or loss</v>
      </c>
      <c r="B38" s="60">
        <v>19166.895</v>
      </c>
      <c r="C38" s="60">
        <v>17254.218</v>
      </c>
      <c r="D38" s="60">
        <v>16299.86899999</v>
      </c>
      <c r="E38" s="68">
        <v>18027.928</v>
      </c>
      <c r="F38" s="44">
        <v>17747.20699999</v>
      </c>
      <c r="G38" s="44">
        <v>20681.508000010002</v>
      </c>
      <c r="H38" s="44">
        <v>22830.747</v>
      </c>
    </row>
    <row r="39" spans="1:8" ht="15">
      <c r="A39" s="43" t="str">
        <f>HLOOKUP(INDICE!$F$2,Nombres!$C$3:$D$636,60,FALSE)</f>
        <v>Deposits from central banks and credit institutions</v>
      </c>
      <c r="B39" s="60">
        <v>1447.8639999999996</v>
      </c>
      <c r="C39" s="60">
        <v>1987.1159999800002</v>
      </c>
      <c r="D39" s="60">
        <v>2658.7980000000002</v>
      </c>
      <c r="E39" s="68">
        <v>683.3110000000007</v>
      </c>
      <c r="F39" s="44">
        <v>3533.15799999</v>
      </c>
      <c r="G39" s="44">
        <v>1867.8340000200003</v>
      </c>
      <c r="H39" s="44">
        <v>2104.525</v>
      </c>
    </row>
    <row r="40" spans="1:8" ht="15.75" customHeight="1">
      <c r="A40" s="43" t="str">
        <f>HLOOKUP(INDICE!$F$2,Nombres!$C$3:$D$636,61,FALSE)</f>
        <v>Deposits from customers</v>
      </c>
      <c r="B40" s="60">
        <v>47521.85800003</v>
      </c>
      <c r="C40" s="60">
        <v>49572.97400002</v>
      </c>
      <c r="D40" s="60">
        <v>50326.833999990005</v>
      </c>
      <c r="E40" s="68">
        <v>50529.552</v>
      </c>
      <c r="F40" s="44">
        <v>50904.01799998</v>
      </c>
      <c r="G40" s="44">
        <v>52960.11800003</v>
      </c>
      <c r="H40" s="44">
        <v>52826.08900001</v>
      </c>
    </row>
    <row r="41" spans="1:8" ht="15">
      <c r="A41" s="43" t="str">
        <f>HLOOKUP(INDICE!$F$2,Nombres!$C$3:$D$636,62,FALSE)</f>
        <v>Debt certificates</v>
      </c>
      <c r="B41" s="44">
        <v>7902.69876549</v>
      </c>
      <c r="C41" s="44">
        <v>8012.477000000001</v>
      </c>
      <c r="D41" s="44">
        <v>8574.753</v>
      </c>
      <c r="E41" s="45">
        <v>8565.787999999999</v>
      </c>
      <c r="F41" s="44">
        <v>9070.749871060001</v>
      </c>
      <c r="G41" s="44">
        <v>9511.637</v>
      </c>
      <c r="H41" s="44">
        <v>9342.978</v>
      </c>
    </row>
    <row r="42" spans="1:8" ht="15">
      <c r="A42" s="43" t="str">
        <f>HLOOKUP(INDICE!$F$2,Nombres!$C$3:$D$636,63,FALSE)</f>
        <v>Other liabilities</v>
      </c>
      <c r="B42" s="60">
        <f>+B37-B38-B39-B40-B41-B43</f>
        <v>14650.763956060007</v>
      </c>
      <c r="C42" s="60">
        <f aca="true" t="shared" si="6" ref="C42:H42">+C37-C38-C39-C40-C41-C43</f>
        <v>14761.167822399979</v>
      </c>
      <c r="D42" s="60">
        <f t="shared" si="6"/>
        <v>14968.833919890014</v>
      </c>
      <c r="E42" s="68">
        <f t="shared" si="6"/>
        <v>15484.798390519993</v>
      </c>
      <c r="F42" s="44">
        <f t="shared" si="6"/>
        <v>16544.514238879998</v>
      </c>
      <c r="G42" s="44">
        <f t="shared" si="6"/>
        <v>16286.699994850009</v>
      </c>
      <c r="H42" s="44">
        <f t="shared" si="6"/>
        <v>15590.564475919955</v>
      </c>
    </row>
    <row r="43" spans="1:8" ht="15">
      <c r="A43" s="43" t="str">
        <f>HLOOKUP(INDICE!$F$2,Nombres!$C$3:$D$636,64,FALSE)</f>
        <v>Economic capital allocated</v>
      </c>
      <c r="B43" s="44">
        <v>3587.5715900200007</v>
      </c>
      <c r="C43" s="44">
        <v>4011.45361001</v>
      </c>
      <c r="D43" s="44">
        <v>4277.964464690001</v>
      </c>
      <c r="E43" s="45">
        <v>4140.484698800001</v>
      </c>
      <c r="F43" s="44">
        <v>3937.92304</v>
      </c>
      <c r="G43" s="44">
        <v>4058.4020051900006</v>
      </c>
      <c r="H43" s="44">
        <v>4436.243895049998</v>
      </c>
    </row>
    <row r="44" spans="1:8" ht="15">
      <c r="A44" s="65"/>
      <c r="B44" s="60"/>
      <c r="C44" s="60"/>
      <c r="D44" s="60"/>
      <c r="E44" s="60"/>
      <c r="F44" s="81"/>
      <c r="G44" s="81"/>
      <c r="H44" s="81"/>
    </row>
    <row r="45" spans="1:8" ht="15">
      <c r="A45" s="43"/>
      <c r="B45" s="60"/>
      <c r="C45" s="60"/>
      <c r="D45" s="60"/>
      <c r="E45" s="60"/>
      <c r="F45" s="81"/>
      <c r="G45" s="81"/>
      <c r="H45" s="81"/>
    </row>
    <row r="46" spans="1:8" ht="18">
      <c r="A46" s="69" t="str">
        <f>HLOOKUP(INDICE!$F$2,Nombres!$C$3:$D$636,65,FALSE)</f>
        <v>Relevant business indicators</v>
      </c>
      <c r="B46" s="70"/>
      <c r="C46" s="70"/>
      <c r="D46" s="70"/>
      <c r="E46" s="70"/>
      <c r="F46" s="82"/>
      <c r="G46" s="82"/>
      <c r="H46" s="82"/>
    </row>
    <row r="47" spans="1:8" ht="15">
      <c r="A47" s="35" t="str">
        <f>HLOOKUP(INDICE!$F$2,Nombres!$C$3:$D$636,32,FALSE)</f>
        <v>(Million euros)</v>
      </c>
      <c r="B47" s="30"/>
      <c r="C47" s="30"/>
      <c r="D47" s="30"/>
      <c r="E47" s="30"/>
      <c r="F47" s="83"/>
      <c r="G47" s="81"/>
      <c r="H47" s="81"/>
    </row>
    <row r="48" spans="1:8" ht="15.75">
      <c r="A48" s="30"/>
      <c r="B48" s="55">
        <f aca="true" t="shared" si="7" ref="B48:H48">+B$30</f>
        <v>43190</v>
      </c>
      <c r="C48" s="55">
        <f t="shared" si="7"/>
        <v>43281</v>
      </c>
      <c r="D48" s="55">
        <f t="shared" si="7"/>
        <v>43373</v>
      </c>
      <c r="E48" s="71">
        <f t="shared" si="7"/>
        <v>43465</v>
      </c>
      <c r="F48" s="80">
        <f t="shared" si="7"/>
        <v>43555</v>
      </c>
      <c r="G48" s="80">
        <f t="shared" si="7"/>
        <v>43646</v>
      </c>
      <c r="H48" s="80">
        <f t="shared" si="7"/>
        <v>43738</v>
      </c>
    </row>
    <row r="49" spans="1:8" ht="15">
      <c r="A49" s="43" t="str">
        <f>HLOOKUP(INDICE!$F$2,Nombres!$C$3:$D$636,66,FALSE)</f>
        <v>Loans and advances to customers (gross) (*)</v>
      </c>
      <c r="B49" s="44">
        <v>48738.00862878001</v>
      </c>
      <c r="C49" s="44">
        <v>50576.808466129994</v>
      </c>
      <c r="D49" s="44">
        <v>53187.005189749994</v>
      </c>
      <c r="E49" s="45">
        <v>52525.04917909</v>
      </c>
      <c r="F49" s="44">
        <v>55355.10392042</v>
      </c>
      <c r="G49" s="44">
        <v>56334.93995790001</v>
      </c>
      <c r="H49" s="44">
        <v>58501.76987570999</v>
      </c>
    </row>
    <row r="50" spans="1:8" ht="15">
      <c r="A50" s="43" t="str">
        <f>HLOOKUP(INDICE!$F$2,Nombres!$C$3:$D$636,67,FALSE)</f>
        <v>Customer deposits under management (*)</v>
      </c>
      <c r="B50" s="44">
        <v>46023.8541696</v>
      </c>
      <c r="C50" s="44">
        <v>48141.36813641001</v>
      </c>
      <c r="D50" s="44">
        <v>49262.44195095</v>
      </c>
      <c r="E50" s="45">
        <v>49739.960551419994</v>
      </c>
      <c r="F50" s="44">
        <v>50829.4218897</v>
      </c>
      <c r="G50" s="44">
        <v>52679.01480042999</v>
      </c>
      <c r="H50" s="44">
        <v>52389.60477442001</v>
      </c>
    </row>
    <row r="51" spans="1:8" ht="15">
      <c r="A51" s="43" t="str">
        <f>HLOOKUP(INDICE!$F$2,Nombres!$C$3:$D$636,68,FALSE)</f>
        <v>Mutual funds</v>
      </c>
      <c r="B51" s="44">
        <v>17587.89980045</v>
      </c>
      <c r="C51" s="44">
        <v>17933.24977827</v>
      </c>
      <c r="D51" s="44">
        <v>19160.970131159997</v>
      </c>
      <c r="E51" s="45">
        <v>17732.58627321</v>
      </c>
      <c r="F51" s="44">
        <v>19552.95962264</v>
      </c>
      <c r="G51" s="44">
        <v>20292.23132221</v>
      </c>
      <c r="H51" s="44">
        <v>21256.078480950004</v>
      </c>
    </row>
    <row r="52" spans="1:8" ht="15">
      <c r="A52" s="43" t="str">
        <f>HLOOKUP(INDICE!$F$2,Nombres!$C$3:$D$636,69,FALSE)</f>
        <v>Pension funds</v>
      </c>
      <c r="B52" s="44" t="s">
        <v>407</v>
      </c>
      <c r="C52" s="44" t="s">
        <v>407</v>
      </c>
      <c r="D52" s="44" t="s">
        <v>407</v>
      </c>
      <c r="E52" s="45" t="s">
        <v>407</v>
      </c>
      <c r="F52" s="44" t="s">
        <v>407</v>
      </c>
      <c r="G52" s="44" t="s">
        <v>407</v>
      </c>
      <c r="H52" s="44" t="s">
        <v>407</v>
      </c>
    </row>
    <row r="53" spans="1:8" ht="15">
      <c r="A53" s="43" t="str">
        <f>HLOOKUP(INDICE!$F$2,Nombres!$C$3:$D$636,70,FALSE)</f>
        <v>Other off balance-sheet funds</v>
      </c>
      <c r="B53" s="44">
        <v>2444.4636794400003</v>
      </c>
      <c r="C53" s="44">
        <v>2890.02642665</v>
      </c>
      <c r="D53" s="44">
        <v>3162.0461762200002</v>
      </c>
      <c r="E53" s="45">
        <v>2913.92584377</v>
      </c>
      <c r="F53" s="44">
        <v>3190.65869424</v>
      </c>
      <c r="G53" s="44">
        <v>3126.70753434</v>
      </c>
      <c r="H53" s="44">
        <v>2898.59580942</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1402.9297339761558</v>
      </c>
      <c r="C62" s="41">
        <v>1422.6660528237003</v>
      </c>
      <c r="D62" s="41">
        <v>1494.1347585116405</v>
      </c>
      <c r="E62" s="42">
        <v>1524.4561801684645</v>
      </c>
      <c r="F62" s="52">
        <v>1511.9397338845156</v>
      </c>
      <c r="G62" s="52">
        <v>1533.198472696918</v>
      </c>
      <c r="H62" s="52">
        <v>1553.6724215685658</v>
      </c>
    </row>
    <row r="63" spans="1:8" ht="15">
      <c r="A63" s="43" t="str">
        <f>HLOOKUP(INDICE!$F$2,Nombres!$C$3:$D$636,34,FALSE)</f>
        <v>Net fees and commissions</v>
      </c>
      <c r="B63" s="44">
        <v>299.27987461990404</v>
      </c>
      <c r="C63" s="44">
        <v>328.9812698689851</v>
      </c>
      <c r="D63" s="44">
        <v>317.8565683919905</v>
      </c>
      <c r="E63" s="45">
        <v>318.1662764581801</v>
      </c>
      <c r="F63" s="44">
        <v>302.7436345803055</v>
      </c>
      <c r="G63" s="44">
        <v>318.97528587634145</v>
      </c>
      <c r="H63" s="44">
        <v>330.042758693353</v>
      </c>
    </row>
    <row r="64" spans="1:8" ht="15">
      <c r="A64" s="43" t="str">
        <f>HLOOKUP(INDICE!$F$2,Nombres!$C$3:$D$636,35,FALSE)</f>
        <v>Net trading income</v>
      </c>
      <c r="B64" s="44">
        <v>71.85665732456647</v>
      </c>
      <c r="C64" s="44">
        <v>81.85180721271655</v>
      </c>
      <c r="D64" s="44">
        <v>55.28814459334749</v>
      </c>
      <c r="E64" s="45">
        <v>25.446579221809017</v>
      </c>
      <c r="F64" s="44">
        <v>63.00524617456158</v>
      </c>
      <c r="G64" s="44">
        <v>72.51703718493772</v>
      </c>
      <c r="H64" s="44">
        <v>105.6493597705007</v>
      </c>
    </row>
    <row r="65" spans="1:8" ht="15">
      <c r="A65" s="43" t="str">
        <f>HLOOKUP(INDICE!$F$2,Nombres!$C$3:$D$636,36,FALSE)</f>
        <v>Other operating income and expenses</v>
      </c>
      <c r="B65" s="44">
        <v>47.60162754719288</v>
      </c>
      <c r="C65" s="44">
        <v>41.64229124591833</v>
      </c>
      <c r="D65" s="44">
        <v>48.50717967599762</v>
      </c>
      <c r="E65" s="45">
        <v>69.06963438307481</v>
      </c>
      <c r="F65" s="44">
        <v>40.05505110307236</v>
      </c>
      <c r="G65" s="44">
        <v>61.71317451358752</v>
      </c>
      <c r="H65" s="44">
        <v>18.82477437334019</v>
      </c>
    </row>
    <row r="66" spans="1:8" ht="15">
      <c r="A66" s="41" t="str">
        <f>HLOOKUP(INDICE!$F$2,Nombres!$C$3:$D$636,37,FALSE)</f>
        <v>Gross income</v>
      </c>
      <c r="B66" s="41">
        <f>+SUM(B62:B65)</f>
        <v>1821.667893467819</v>
      </c>
      <c r="C66" s="41">
        <f aca="true" t="shared" si="9" ref="C66:H66">+SUM(C62:C65)</f>
        <v>1875.1414211513204</v>
      </c>
      <c r="D66" s="41">
        <f t="shared" si="9"/>
        <v>1915.786651172976</v>
      </c>
      <c r="E66" s="42">
        <f t="shared" si="9"/>
        <v>1937.1386702315285</v>
      </c>
      <c r="F66" s="52">
        <f t="shared" si="9"/>
        <v>1917.743665742455</v>
      </c>
      <c r="G66" s="52">
        <f t="shared" si="9"/>
        <v>1986.4039702717846</v>
      </c>
      <c r="H66" s="52">
        <f t="shared" si="9"/>
        <v>2008.1893144057597</v>
      </c>
    </row>
    <row r="67" spans="1:8" ht="15">
      <c r="A67" s="43" t="str">
        <f>HLOOKUP(INDICE!$F$2,Nombres!$C$3:$D$636,38,FALSE)</f>
        <v>Operating expenses</v>
      </c>
      <c r="B67" s="44">
        <v>-609.9924214927725</v>
      </c>
      <c r="C67" s="44">
        <v>-623.4432999757411</v>
      </c>
      <c r="D67" s="44">
        <v>-634.7695720856279</v>
      </c>
      <c r="E67" s="45">
        <v>-642.9302019668069</v>
      </c>
      <c r="F67" s="44">
        <v>-639.4064455521985</v>
      </c>
      <c r="G67" s="44">
        <v>-651.7447938236625</v>
      </c>
      <c r="H67" s="44">
        <v>-666.9297155241389</v>
      </c>
    </row>
    <row r="68" spans="1:8" ht="15">
      <c r="A68" s="43" t="str">
        <f>HLOOKUP(INDICE!$F$2,Nombres!$C$3:$D$636,39,FALSE)</f>
        <v>  Administration expenses</v>
      </c>
      <c r="B68" s="44">
        <v>-545.5630533882409</v>
      </c>
      <c r="C68" s="44">
        <v>-557.8992512433147</v>
      </c>
      <c r="D68" s="44">
        <v>-567.2581608061143</v>
      </c>
      <c r="E68" s="45">
        <v>-574.8152561013667</v>
      </c>
      <c r="F68" s="44">
        <v>-554.6863818092079</v>
      </c>
      <c r="G68" s="44">
        <v>-564.2123087553698</v>
      </c>
      <c r="H68" s="44">
        <v>-579.3077636654223</v>
      </c>
    </row>
    <row r="69" spans="1:8" ht="15">
      <c r="A69" s="46" t="str">
        <f>HLOOKUP(INDICE!$F$2,Nombres!$C$3:$D$636,40,FALSE)</f>
        <v>  Personnel expenses</v>
      </c>
      <c r="B69" s="44">
        <v>-262.4474051201208</v>
      </c>
      <c r="C69" s="44">
        <v>-269.293612737579</v>
      </c>
      <c r="D69" s="44">
        <v>-268.13176097007124</v>
      </c>
      <c r="E69" s="45">
        <v>-274.84538971547715</v>
      </c>
      <c r="F69" s="44">
        <v>-271.21073947611126</v>
      </c>
      <c r="G69" s="44">
        <v>-277.12295390973713</v>
      </c>
      <c r="H69" s="44">
        <v>-283.7150757841517</v>
      </c>
    </row>
    <row r="70" spans="1:8" ht="15">
      <c r="A70" s="46" t="str">
        <f>HLOOKUP(INDICE!$F$2,Nombres!$C$3:$D$636,41,FALSE)</f>
        <v>  General and administrative expenses</v>
      </c>
      <c r="B70" s="44">
        <v>-283.11564826812025</v>
      </c>
      <c r="C70" s="44">
        <v>-288.60563850573567</v>
      </c>
      <c r="D70" s="44">
        <v>-299.12639983604305</v>
      </c>
      <c r="E70" s="45">
        <v>-299.9698663858895</v>
      </c>
      <c r="F70" s="44">
        <v>-283.4756423330967</v>
      </c>
      <c r="G70" s="44">
        <v>-287.0893548456328</v>
      </c>
      <c r="H70" s="44">
        <v>-295.59268788127054</v>
      </c>
    </row>
    <row r="71" spans="1:8" ht="15">
      <c r="A71" s="43" t="str">
        <f>HLOOKUP(INDICE!$F$2,Nombres!$C$3:$D$636,42,FALSE)</f>
        <v>  Depreciation</v>
      </c>
      <c r="B71" s="44">
        <v>-64.42936810453149</v>
      </c>
      <c r="C71" s="44">
        <v>-65.54404873242636</v>
      </c>
      <c r="D71" s="44">
        <v>-67.51141127951364</v>
      </c>
      <c r="E71" s="45">
        <v>-68.11494586544025</v>
      </c>
      <c r="F71" s="44">
        <v>-84.72006374299059</v>
      </c>
      <c r="G71" s="44">
        <v>-87.53248506829273</v>
      </c>
      <c r="H71" s="44">
        <v>-87.62195185871667</v>
      </c>
    </row>
    <row r="72" spans="1:8" ht="15">
      <c r="A72" s="41" t="str">
        <f>HLOOKUP(INDICE!$F$2,Nombres!$C$3:$D$636,43,FALSE)</f>
        <v>Operating income</v>
      </c>
      <c r="B72" s="41">
        <f>+B66+B67</f>
        <v>1211.6754719750465</v>
      </c>
      <c r="C72" s="41">
        <f aca="true" t="shared" si="10" ref="C72:H72">+C66+C67</f>
        <v>1251.6981211755792</v>
      </c>
      <c r="D72" s="41">
        <f t="shared" si="10"/>
        <v>1281.017079087348</v>
      </c>
      <c r="E72" s="42">
        <f t="shared" si="10"/>
        <v>1294.2084682647217</v>
      </c>
      <c r="F72" s="52">
        <f t="shared" si="10"/>
        <v>1278.3372201902566</v>
      </c>
      <c r="G72" s="52">
        <f t="shared" si="10"/>
        <v>1334.6591764481223</v>
      </c>
      <c r="H72" s="52">
        <f t="shared" si="10"/>
        <v>1341.2595988816206</v>
      </c>
    </row>
    <row r="73" spans="1:8" ht="15">
      <c r="A73" s="43" t="str">
        <f>HLOOKUP(INDICE!$F$2,Nombres!$C$3:$D$636,44,FALSE)</f>
        <v>Impaiment on financial assets not measured at fair value through profit or loss</v>
      </c>
      <c r="B73" s="44">
        <v>-401.34379821065954</v>
      </c>
      <c r="C73" s="44">
        <v>-354.0210409448148</v>
      </c>
      <c r="D73" s="44">
        <v>-353.7526046459334</v>
      </c>
      <c r="E73" s="45">
        <v>-522.9868431763067</v>
      </c>
      <c r="F73" s="44">
        <v>-397.74811919321905</v>
      </c>
      <c r="G73" s="44">
        <v>-420.7325713653545</v>
      </c>
      <c r="H73" s="44">
        <v>-419.61230942142646</v>
      </c>
    </row>
    <row r="74" spans="1:8" ht="15">
      <c r="A74" s="43" t="str">
        <f>HLOOKUP(INDICE!$F$2,Nombres!$C$3:$D$636,45,FALSE)</f>
        <v>Provisions or reversal of provisions and other results</v>
      </c>
      <c r="B74" s="44">
        <v>22.07181088027322</v>
      </c>
      <c r="C74" s="44">
        <v>35.147155978347094</v>
      </c>
      <c r="D74" s="44">
        <v>-23.548765210761378</v>
      </c>
      <c r="E74" s="45">
        <v>-8.855408276705468</v>
      </c>
      <c r="F74" s="44">
        <v>3.729802176467049</v>
      </c>
      <c r="G74" s="44">
        <v>-13.270354369878621</v>
      </c>
      <c r="H74" s="44">
        <v>-4.607447766588427</v>
      </c>
    </row>
    <row r="75" spans="1:8" ht="15">
      <c r="A75" s="41" t="str">
        <f>HLOOKUP(INDICE!$F$2,Nombres!$C$3:$D$636,46,FALSE)</f>
        <v>Profit/(loss) before tax</v>
      </c>
      <c r="B75" s="41">
        <f>+B72+B73+B74</f>
        <v>832.4034846446602</v>
      </c>
      <c r="C75" s="41">
        <f aca="true" t="shared" si="11" ref="C75:H75">+C72+C73+C74</f>
        <v>932.8242362091115</v>
      </c>
      <c r="D75" s="41">
        <f t="shared" si="11"/>
        <v>903.7157092306533</v>
      </c>
      <c r="E75" s="42">
        <f t="shared" si="11"/>
        <v>762.3662168117095</v>
      </c>
      <c r="F75" s="52">
        <f t="shared" si="11"/>
        <v>884.3189031735046</v>
      </c>
      <c r="G75" s="52">
        <f t="shared" si="11"/>
        <v>900.6562507128891</v>
      </c>
      <c r="H75" s="52">
        <f t="shared" si="11"/>
        <v>917.0398416936057</v>
      </c>
    </row>
    <row r="76" spans="1:8" ht="15">
      <c r="A76" s="43" t="str">
        <f>HLOOKUP(INDICE!$F$2,Nombres!$C$3:$D$636,47,FALSE)</f>
        <v>Income tax</v>
      </c>
      <c r="B76" s="44">
        <v>-228.23728611849194</v>
      </c>
      <c r="C76" s="44">
        <v>-256.68092183053886</v>
      </c>
      <c r="D76" s="44">
        <v>-252.081322386905</v>
      </c>
      <c r="E76" s="45">
        <v>-209.15267098153075</v>
      </c>
      <c r="F76" s="44">
        <v>-252.0259541656862</v>
      </c>
      <c r="G76" s="44">
        <v>-244.91516393327242</v>
      </c>
      <c r="H76" s="44">
        <v>-239.81972087104134</v>
      </c>
    </row>
    <row r="77" spans="1:8" ht="15">
      <c r="A77" s="41" t="str">
        <f>HLOOKUP(INDICE!$F$2,Nombres!$C$3:$D$636,48,FALSE)</f>
        <v>Profit/(loss) for the year</v>
      </c>
      <c r="B77" s="41">
        <f>+B75+B76</f>
        <v>604.1661985261683</v>
      </c>
      <c r="C77" s="41">
        <f aca="true" t="shared" si="12" ref="C77:H77">+C75+C76</f>
        <v>676.1433143785727</v>
      </c>
      <c r="D77" s="41">
        <f t="shared" si="12"/>
        <v>651.6343868437483</v>
      </c>
      <c r="E77" s="42">
        <f t="shared" si="12"/>
        <v>553.2135458301788</v>
      </c>
      <c r="F77" s="52">
        <f t="shared" si="12"/>
        <v>632.2929490078184</v>
      </c>
      <c r="G77" s="52">
        <f t="shared" si="12"/>
        <v>655.7410867796167</v>
      </c>
      <c r="H77" s="52">
        <f t="shared" si="12"/>
        <v>677.2201208225644</v>
      </c>
    </row>
    <row r="78" spans="1:8" ht="15">
      <c r="A78" s="43" t="str">
        <f>HLOOKUP(INDICE!$F$2,Nombres!$C$3:$D$636,49,FALSE)</f>
        <v>Non-controlling interests</v>
      </c>
      <c r="B78" s="44">
        <v>-0.10543349950046073</v>
      </c>
      <c r="C78" s="44">
        <v>-0.12397160016394397</v>
      </c>
      <c r="D78" s="44">
        <v>-0.11956336880807208</v>
      </c>
      <c r="E78" s="45">
        <v>-0.10551108112274615</v>
      </c>
      <c r="F78" s="44">
        <v>-0.11391017427072292</v>
      </c>
      <c r="G78" s="44">
        <v>-0.12730605328113936</v>
      </c>
      <c r="H78" s="44">
        <v>-0.11878377244813772</v>
      </c>
    </row>
    <row r="79" spans="1:8" ht="15">
      <c r="A79" s="47" t="str">
        <f>HLOOKUP(INDICE!$F$2,Nombres!$C$3:$D$636,50,FALSE)</f>
        <v>Net attributable profit</v>
      </c>
      <c r="B79" s="47">
        <f>+B77+B78</f>
        <v>604.0607650266678</v>
      </c>
      <c r="C79" s="47">
        <f aca="true" t="shared" si="13" ref="C79:H79">+C77+C78</f>
        <v>676.0193427784087</v>
      </c>
      <c r="D79" s="47">
        <f t="shared" si="13"/>
        <v>651.5148234749403</v>
      </c>
      <c r="E79" s="47">
        <f t="shared" si="13"/>
        <v>553.1080347490561</v>
      </c>
      <c r="F79" s="53">
        <f t="shared" si="13"/>
        <v>632.1790388335477</v>
      </c>
      <c r="G79" s="53">
        <f t="shared" si="13"/>
        <v>655.6137807263356</v>
      </c>
      <c r="H79" s="53">
        <f t="shared" si="13"/>
        <v>677.1013370501162</v>
      </c>
    </row>
    <row r="80" spans="1:8" ht="15">
      <c r="A80" s="65"/>
      <c r="B80" s="66">
        <v>0</v>
      </c>
      <c r="C80" s="66">
        <v>0</v>
      </c>
      <c r="D80" s="66">
        <v>0</v>
      </c>
      <c r="E80" s="66">
        <v>0</v>
      </c>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8136.314238012976</v>
      </c>
      <c r="C85" s="44">
        <v>6323.120834022387</v>
      </c>
      <c r="D85" s="44">
        <v>6320.1117975694615</v>
      </c>
      <c r="E85" s="45">
        <v>8674.839851389057</v>
      </c>
      <c r="F85" s="44">
        <v>8774.65672536472</v>
      </c>
      <c r="G85" s="44">
        <v>10223.63665841514</v>
      </c>
      <c r="H85" s="44">
        <v>6831.139999999999</v>
      </c>
    </row>
    <row r="86" spans="1:8" ht="15">
      <c r="A86" s="43" t="str">
        <f>HLOOKUP(INDICE!$F$2,Nombres!$C$3:$D$636,53,FALSE)</f>
        <v>Financial assets designated at fair value </v>
      </c>
      <c r="B86" s="60">
        <v>29327.325211577554</v>
      </c>
      <c r="C86" s="60">
        <v>30178.05286630972</v>
      </c>
      <c r="D86" s="60">
        <v>27366.550885906454</v>
      </c>
      <c r="E86" s="68">
        <v>27283.470382325508</v>
      </c>
      <c r="F86" s="44">
        <v>26484.58845070628</v>
      </c>
      <c r="G86" s="44">
        <v>28892.467363974312</v>
      </c>
      <c r="H86" s="44">
        <v>30669.01300002</v>
      </c>
    </row>
    <row r="87" spans="1:8" ht="15">
      <c r="A87" s="43" t="str">
        <f>HLOOKUP(INDICE!$F$2,Nombres!$C$3:$D$636,54,FALSE)</f>
        <v>Financial assets at amortized cost</v>
      </c>
      <c r="B87" s="44">
        <v>55895.295504624664</v>
      </c>
      <c r="C87" s="44">
        <v>59594.36431588215</v>
      </c>
      <c r="D87" s="44">
        <v>59712.86883982479</v>
      </c>
      <c r="E87" s="45">
        <v>60506.46582227033</v>
      </c>
      <c r="F87" s="44">
        <v>61430.29785683447</v>
      </c>
      <c r="G87" s="44">
        <v>62564.94456656967</v>
      </c>
      <c r="H87" s="44">
        <v>64579.616000019996</v>
      </c>
    </row>
    <row r="88" spans="1:8" ht="15">
      <c r="A88" s="43" t="str">
        <f>HLOOKUP(INDICE!$F$2,Nombres!$C$3:$D$636,55,FALSE)</f>
        <v>    of which loans and advances to customers</v>
      </c>
      <c r="B88" s="44">
        <v>49609.441932761016</v>
      </c>
      <c r="C88" s="44">
        <v>52796.59399060623</v>
      </c>
      <c r="D88" s="44">
        <v>52833.471321713485</v>
      </c>
      <c r="E88" s="45">
        <v>53578.70971629628</v>
      </c>
      <c r="F88" s="44">
        <v>54075.29737448529</v>
      </c>
      <c r="G88" s="44">
        <v>55365.40093402543</v>
      </c>
      <c r="H88" s="44">
        <v>56510.21200001</v>
      </c>
    </row>
    <row r="89" spans="1:8" ht="15">
      <c r="A89" s="43" t="str">
        <f>HLOOKUP(INDICE!$F$2,Nombres!$C$3:$D$636,56,FALSE)</f>
        <v>Tangible assets</v>
      </c>
      <c r="B89" s="44">
        <v>1880.4573979460695</v>
      </c>
      <c r="C89" s="44">
        <v>1850.0648849380332</v>
      </c>
      <c r="D89" s="44">
        <v>1831.1045680073046</v>
      </c>
      <c r="E89" s="45">
        <v>1874.612040083902</v>
      </c>
      <c r="F89" s="44">
        <v>2052.0382467533946</v>
      </c>
      <c r="G89" s="44">
        <v>2055.12870508984</v>
      </c>
      <c r="H89" s="44">
        <v>1996.9530000000002</v>
      </c>
    </row>
    <row r="90" spans="1:8" ht="15">
      <c r="A90" s="43" t="str">
        <f>HLOOKUP(INDICE!$F$2,Nombres!$C$3:$D$636,57,FALSE)</f>
        <v>Other assets</v>
      </c>
      <c r="B90" s="60">
        <f>+B91-B89-B87-B86-B85</f>
        <v>3753.2363880855664</v>
      </c>
      <c r="C90" s="60">
        <f aca="true" t="shared" si="15" ref="C90:H90">+C91-C89-C87-C86-C85</f>
        <v>4024.324080848043</v>
      </c>
      <c r="D90" s="60">
        <f t="shared" si="15"/>
        <v>3359.576814011576</v>
      </c>
      <c r="E90" s="68">
        <f t="shared" si="15"/>
        <v>3815.6304820007535</v>
      </c>
      <c r="F90" s="44">
        <f t="shared" si="15"/>
        <v>4128.503565287838</v>
      </c>
      <c r="G90" s="44">
        <f t="shared" si="15"/>
        <v>3437.0263297043566</v>
      </c>
      <c r="H90" s="44">
        <f t="shared" si="15"/>
        <v>3054.4253709399563</v>
      </c>
    </row>
    <row r="91" spans="1:8" ht="15">
      <c r="A91" s="47" t="str">
        <f>HLOOKUP(INDICE!$F$2,Nombres!$C$3:$D$636,58,FALSE)</f>
        <v>Total assets / Liabilities and equity</v>
      </c>
      <c r="B91" s="47">
        <v>98992.62874024683</v>
      </c>
      <c r="C91" s="47">
        <v>101969.92698200034</v>
      </c>
      <c r="D91" s="47">
        <v>98590.21290531958</v>
      </c>
      <c r="E91" s="47">
        <v>102155.01857806955</v>
      </c>
      <c r="F91" s="53">
        <v>102870.0848449467</v>
      </c>
      <c r="G91" s="53">
        <v>107173.20362375332</v>
      </c>
      <c r="H91" s="53">
        <v>107131.14737097995</v>
      </c>
    </row>
    <row r="92" spans="1:8" ht="15">
      <c r="A92" s="43" t="str">
        <f>HLOOKUP(INDICE!$F$2,Nombres!$C$3:$D$636,59,FALSE)</f>
        <v>Financial liabilities held for trading and designated at fair value through profit or loss</v>
      </c>
      <c r="B92" s="60">
        <v>20125.462338547233</v>
      </c>
      <c r="C92" s="60">
        <v>18403.998677914828</v>
      </c>
      <c r="D92" s="60">
        <v>16548.824370384733</v>
      </c>
      <c r="E92" s="68">
        <v>18901.859004560396</v>
      </c>
      <c r="F92" s="44">
        <v>17944.76403515322</v>
      </c>
      <c r="G92" s="44">
        <v>21036.190819878124</v>
      </c>
      <c r="H92" s="44">
        <v>22830.747</v>
      </c>
    </row>
    <row r="93" spans="1:8" ht="15">
      <c r="A93" s="43" t="str">
        <f>HLOOKUP(INDICE!$F$2,Nombres!$C$3:$D$636,60,FALSE)</f>
        <v>Deposits from central banks and credit institutions</v>
      </c>
      <c r="B93" s="60">
        <v>1520.2740143011351</v>
      </c>
      <c r="C93" s="60">
        <v>2119.532756366897</v>
      </c>
      <c r="D93" s="60">
        <v>2699.4070405324837</v>
      </c>
      <c r="E93" s="68">
        <v>716.4355314856565</v>
      </c>
      <c r="F93" s="44">
        <v>3572.4881446849727</v>
      </c>
      <c r="G93" s="44">
        <v>1899.8668977261214</v>
      </c>
      <c r="H93" s="44">
        <v>2104.525</v>
      </c>
    </row>
    <row r="94" spans="1:8" ht="15">
      <c r="A94" s="43" t="str">
        <f>HLOOKUP(INDICE!$F$2,Nombres!$C$3:$D$636,61,FALSE)</f>
        <v>Deposits from customers</v>
      </c>
      <c r="B94" s="60">
        <v>49898.5027797874</v>
      </c>
      <c r="C94" s="60">
        <v>52876.40088682514</v>
      </c>
      <c r="D94" s="60">
        <v>51095.49880332488</v>
      </c>
      <c r="E94" s="68">
        <v>52979.04825599497</v>
      </c>
      <c r="F94" s="44">
        <v>51470.66755075026</v>
      </c>
      <c r="G94" s="44">
        <v>53868.3711115918</v>
      </c>
      <c r="H94" s="44">
        <v>52826.08900001</v>
      </c>
    </row>
    <row r="95" spans="1:8" ht="15">
      <c r="A95" s="43" t="str">
        <f>HLOOKUP(INDICE!$F$2,Nombres!$C$3:$D$636,62,FALSE)</f>
        <v>Debt certificates</v>
      </c>
      <c r="B95" s="44">
        <v>8297.925479205303</v>
      </c>
      <c r="C95" s="44">
        <v>8546.40970195363</v>
      </c>
      <c r="D95" s="44">
        <v>8705.719132866443</v>
      </c>
      <c r="E95" s="45">
        <v>8981.027494615877</v>
      </c>
      <c r="F95" s="44">
        <v>9171.722967910382</v>
      </c>
      <c r="G95" s="44">
        <v>9674.759255529934</v>
      </c>
      <c r="H95" s="44">
        <v>9342.978</v>
      </c>
    </row>
    <row r="96" spans="1:8" ht="15">
      <c r="A96" s="43" t="str">
        <f>HLOOKUP(INDICE!$F$2,Nombres!$C$3:$D$636,63,FALSE)</f>
        <v>Other liabilities</v>
      </c>
      <c r="B96" s="60">
        <f>+B91-B92-B93-B94-B95-B97</f>
        <v>15383.472295780313</v>
      </c>
      <c r="C96" s="60">
        <f aca="true" t="shared" si="16" ref="C96:H96">+C91-C92-C93-C94-C95-C97</f>
        <v>15744.817475235817</v>
      </c>
      <c r="D96" s="60">
        <f t="shared" si="16"/>
        <v>15197.459781417168</v>
      </c>
      <c r="E96" s="68">
        <f t="shared" si="16"/>
        <v>16235.447351001909</v>
      </c>
      <c r="F96" s="44">
        <f t="shared" si="16"/>
        <v>16728.68322847091</v>
      </c>
      <c r="G96" s="44">
        <f t="shared" si="16"/>
        <v>16566.012928922144</v>
      </c>
      <c r="H96" s="44">
        <f t="shared" si="16"/>
        <v>15590.564475919955</v>
      </c>
    </row>
    <row r="97" spans="1:8" ht="15">
      <c r="A97" s="43" t="str">
        <f>HLOOKUP(INDICE!$F$2,Nombres!$C$3:$D$636,64,FALSE)</f>
        <v>Economic capital allocated</v>
      </c>
      <c r="B97" s="44">
        <v>3766.9918326254456</v>
      </c>
      <c r="C97" s="44">
        <v>4278.767483704025</v>
      </c>
      <c r="D97" s="44">
        <v>4343.303776793861</v>
      </c>
      <c r="E97" s="45">
        <v>4341.200940410752</v>
      </c>
      <c r="F97" s="44">
        <v>3981.7589179769566</v>
      </c>
      <c r="G97" s="44">
        <v>4128.002610105201</v>
      </c>
      <c r="H97" s="44">
        <v>4436.243895049998</v>
      </c>
    </row>
    <row r="98" spans="1:8" ht="15">
      <c r="A98" s="65"/>
      <c r="B98" s="60"/>
      <c r="C98" s="60"/>
      <c r="D98" s="60"/>
      <c r="E98" s="60"/>
      <c r="F98" s="44"/>
      <c r="G98" s="44"/>
      <c r="H98" s="44"/>
    </row>
    <row r="99" spans="1:8" ht="15">
      <c r="A99" s="43"/>
      <c r="B99" s="60"/>
      <c r="C99" s="60"/>
      <c r="D99" s="60"/>
      <c r="E99" s="60"/>
      <c r="F99" s="44"/>
      <c r="G99" s="44"/>
      <c r="H99" s="44"/>
    </row>
    <row r="100" spans="1:8" ht="18">
      <c r="A100" s="69" t="str">
        <f>HLOOKUP(INDICE!$F$2,Nombres!$C$3:$D$636,65,FALSE)</f>
        <v>Relevant business indicators</v>
      </c>
      <c r="B100" s="70"/>
      <c r="C100" s="70"/>
      <c r="D100" s="70"/>
      <c r="E100" s="70"/>
      <c r="F100" s="75"/>
      <c r="G100" s="75"/>
      <c r="H100" s="75"/>
    </row>
    <row r="101" spans="1:8" ht="15">
      <c r="A101" s="35" t="str">
        <f>HLOOKUP(INDICE!$F$2,Nombres!$C$3:$D$636,73,FALSE)</f>
        <v>(Constant million euros)    </v>
      </c>
      <c r="B101" s="30"/>
      <c r="C101" s="30"/>
      <c r="D101" s="30"/>
      <c r="E101" s="30"/>
      <c r="F101" s="73"/>
      <c r="G101" s="73"/>
      <c r="H101" s="73"/>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51175.47506334761</v>
      </c>
      <c r="C103" s="44">
        <v>53947.128530763206</v>
      </c>
      <c r="D103" s="44">
        <v>53999.354698645366</v>
      </c>
      <c r="E103" s="45">
        <v>55071.280171007995</v>
      </c>
      <c r="F103" s="44">
        <v>55971.301737444184</v>
      </c>
      <c r="G103" s="44">
        <v>57301.07044322824</v>
      </c>
      <c r="H103" s="44">
        <v>58501.76987570999</v>
      </c>
    </row>
    <row r="104" spans="1:8" ht="15">
      <c r="A104" s="43" t="str">
        <f>HLOOKUP(INDICE!$F$2,Nombres!$C$3:$D$636,67,FALSE)</f>
        <v>Customer deposits under management (*)</v>
      </c>
      <c r="B104" s="44">
        <v>48325.581361252036</v>
      </c>
      <c r="C104" s="44">
        <v>51349.3961613039</v>
      </c>
      <c r="D104" s="44">
        <v>50014.84980664842</v>
      </c>
      <c r="E104" s="45">
        <v>52151.180170862506</v>
      </c>
      <c r="F104" s="44">
        <v>51395.24105705378</v>
      </c>
      <c r="G104" s="44">
        <v>53582.44706065408</v>
      </c>
      <c r="H104" s="44">
        <v>52389.60477442001</v>
      </c>
    </row>
    <row r="105" spans="1:8" ht="15">
      <c r="A105" s="43" t="str">
        <f>HLOOKUP(INDICE!$F$2,Nombres!$C$3:$D$636,68,FALSE)</f>
        <v>Mutual funds</v>
      </c>
      <c r="B105" s="44">
        <v>18467.499041868745</v>
      </c>
      <c r="C105" s="44">
        <v>19128.279543587392</v>
      </c>
      <c r="D105" s="44">
        <v>19453.624410536613</v>
      </c>
      <c r="E105" s="45">
        <v>18592.200142047303</v>
      </c>
      <c r="F105" s="44">
        <v>19770.617800161515</v>
      </c>
      <c r="G105" s="44">
        <v>20640.23814196291</v>
      </c>
      <c r="H105" s="44">
        <v>21256.078480950004</v>
      </c>
    </row>
    <row r="106" spans="1:8" ht="15">
      <c r="A106" s="43" t="str">
        <f>HLOOKUP(INDICE!$F$2,Nombres!$C$3:$D$636,69,FALSE)</f>
        <v>Pension funds</v>
      </c>
      <c r="B106" s="44" t="s">
        <v>407</v>
      </c>
      <c r="C106" s="44" t="s">
        <v>407</v>
      </c>
      <c r="D106" s="44" t="s">
        <v>407</v>
      </c>
      <c r="E106" s="45" t="s">
        <v>407</v>
      </c>
      <c r="F106" s="44" t="s">
        <v>407</v>
      </c>
      <c r="G106" s="44" t="s">
        <v>407</v>
      </c>
      <c r="H106" s="44" t="s">
        <v>407</v>
      </c>
    </row>
    <row r="107" spans="1:8" ht="15">
      <c r="A107" s="43" t="str">
        <f>HLOOKUP(INDICE!$F$2,Nombres!$C$3:$D$636,70,FALSE)</f>
        <v>Other off balance-sheet funds</v>
      </c>
      <c r="B107" s="44">
        <v>2566.71525140177</v>
      </c>
      <c r="C107" s="44">
        <v>3082.6110192421065</v>
      </c>
      <c r="D107" s="44">
        <v>3210.34155681518</v>
      </c>
      <c r="E107" s="45">
        <v>3055.182794644245</v>
      </c>
      <c r="F107" s="44">
        <v>3226.176230709382</v>
      </c>
      <c r="G107" s="44">
        <v>3180.3298062353615</v>
      </c>
      <c r="H107" s="44">
        <v>2898.59580942</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HLOOKUP(INDICE!$F$2,Nombres!$C$3:$D$636,74,FALSE)</f>
        <v>(Million Mexican pesos)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30347.48576391449</v>
      </c>
      <c r="C116" s="41">
        <v>30774.412102955295</v>
      </c>
      <c r="D116" s="41">
        <v>32320.387981792148</v>
      </c>
      <c r="E116" s="42">
        <v>32976.28605693248</v>
      </c>
      <c r="F116" s="52">
        <v>32705.53644900995</v>
      </c>
      <c r="G116" s="52">
        <v>33165.39502769992</v>
      </c>
      <c r="H116" s="52">
        <v>33608.27741650813</v>
      </c>
    </row>
    <row r="117" spans="1:8" ht="15">
      <c r="A117" s="43" t="str">
        <f>HLOOKUP(INDICE!$F$2,Nombres!$C$3:$D$636,34,FALSE)</f>
        <v>Net fees and commissions</v>
      </c>
      <c r="B117" s="44">
        <v>6473.875002073351</v>
      </c>
      <c r="C117" s="44">
        <v>7116.360971014401</v>
      </c>
      <c r="D117" s="44">
        <v>6875.716902017406</v>
      </c>
      <c r="E117" s="45">
        <v>6882.416354528844</v>
      </c>
      <c r="F117" s="44">
        <v>6548.801353366785</v>
      </c>
      <c r="G117" s="44">
        <v>6899.916448229862</v>
      </c>
      <c r="H117" s="44">
        <v>7139.322575010603</v>
      </c>
    </row>
    <row r="118" spans="1:8" ht="15">
      <c r="A118" s="43" t="str">
        <f>HLOOKUP(INDICE!$F$2,Nombres!$C$3:$D$636,35,FALSE)</f>
        <v>Net trading income</v>
      </c>
      <c r="B118" s="44">
        <v>1554.3678577681533</v>
      </c>
      <c r="C118" s="44">
        <v>1770.5780225346673</v>
      </c>
      <c r="D118" s="44">
        <v>1195.965942075025</v>
      </c>
      <c r="E118" s="45">
        <v>550.4478820086774</v>
      </c>
      <c r="F118" s="44">
        <v>1362.8984866657133</v>
      </c>
      <c r="G118" s="44">
        <v>1568.652870000799</v>
      </c>
      <c r="H118" s="44">
        <v>2285.3549710683096</v>
      </c>
    </row>
    <row r="119" spans="1:8" ht="15">
      <c r="A119" s="43" t="str">
        <f>HLOOKUP(INDICE!$F$2,Nombres!$C$3:$D$636,36,FALSE)</f>
        <v>Other operating income and expenses</v>
      </c>
      <c r="B119" s="44">
        <v>1029.6949870991523</v>
      </c>
      <c r="C119" s="44">
        <v>900.7855562235635</v>
      </c>
      <c r="D119" s="44">
        <v>1049.28344521779</v>
      </c>
      <c r="E119" s="45">
        <v>1494.080348713149</v>
      </c>
      <c r="F119" s="44">
        <v>866.4511583757014</v>
      </c>
      <c r="G119" s="44">
        <v>1334.9490281948058</v>
      </c>
      <c r="H119" s="44">
        <v>407.2082574547181</v>
      </c>
    </row>
    <row r="120" spans="1:8" ht="15">
      <c r="A120" s="41" t="str">
        <f>HLOOKUP(INDICE!$F$2,Nombres!$C$3:$D$636,37,FALSE)</f>
        <v>Gross income</v>
      </c>
      <c r="B120" s="41">
        <f>+SUM(B116:B119)</f>
        <v>39405.42361085515</v>
      </c>
      <c r="C120" s="41">
        <f aca="true" t="shared" si="19" ref="C120:H120">+SUM(C116:C119)</f>
        <v>40562.13665272793</v>
      </c>
      <c r="D120" s="41">
        <f t="shared" si="19"/>
        <v>41441.35427110237</v>
      </c>
      <c r="E120" s="42">
        <f t="shared" si="19"/>
        <v>41903.23064218315</v>
      </c>
      <c r="F120" s="52">
        <f t="shared" si="19"/>
        <v>41483.68744741815</v>
      </c>
      <c r="G120" s="52">
        <f t="shared" si="19"/>
        <v>42968.91337412538</v>
      </c>
      <c r="H120" s="52">
        <f t="shared" si="19"/>
        <v>43440.16322004175</v>
      </c>
    </row>
    <row r="121" spans="1:8" ht="15">
      <c r="A121" s="43" t="str">
        <f>HLOOKUP(INDICE!$F$2,Nombres!$C$3:$D$636,38,FALSE)</f>
        <v>Operating expenses</v>
      </c>
      <c r="B121" s="44">
        <v>-13195.055945447843</v>
      </c>
      <c r="C121" s="44">
        <v>-13486.018730958931</v>
      </c>
      <c r="D121" s="44">
        <v>-13731.023076713891</v>
      </c>
      <c r="E121" s="45">
        <v>-13907.549807273484</v>
      </c>
      <c r="F121" s="44">
        <v>-13831.32564220091</v>
      </c>
      <c r="G121" s="44">
        <v>-14098.222721541617</v>
      </c>
      <c r="H121" s="44">
        <v>-14426.695476784536</v>
      </c>
    </row>
    <row r="122" spans="1:8" ht="15">
      <c r="A122" s="43" t="str">
        <f>HLOOKUP(INDICE!$F$2,Nombres!$C$3:$D$636,39,FALSE)</f>
        <v>  Administration expenses</v>
      </c>
      <c r="B122" s="44">
        <v>-11801.351553861039</v>
      </c>
      <c r="C122" s="44">
        <v>-12068.202116452398</v>
      </c>
      <c r="D122" s="44">
        <v>-12270.64944353118</v>
      </c>
      <c r="E122" s="45">
        <v>-12434.120810867038</v>
      </c>
      <c r="F122" s="44">
        <v>-11998.702905585626</v>
      </c>
      <c r="G122" s="44">
        <v>-12204.763070528748</v>
      </c>
      <c r="H122" s="44">
        <v>-12531.300524178878</v>
      </c>
    </row>
    <row r="123" spans="1:8" ht="15">
      <c r="A123" s="46" t="str">
        <f>HLOOKUP(INDICE!$F$2,Nombres!$C$3:$D$636,40,FALSE)</f>
        <v>  Personnel expenses</v>
      </c>
      <c r="B123" s="44">
        <v>-5677.133143429782</v>
      </c>
      <c r="C123" s="44">
        <v>-5825.226938276352</v>
      </c>
      <c r="D123" s="44">
        <v>-5800.094332472716</v>
      </c>
      <c r="E123" s="45">
        <v>-5945.320246387857</v>
      </c>
      <c r="F123" s="44">
        <v>-5866.697280657887</v>
      </c>
      <c r="G123" s="44">
        <v>-5994.587394476459</v>
      </c>
      <c r="H123" s="44">
        <v>-6137.1849315396985</v>
      </c>
    </row>
    <row r="124" spans="1:8" ht="15">
      <c r="A124" s="46" t="str">
        <f>HLOOKUP(INDICE!$F$2,Nombres!$C$3:$D$636,41,FALSE)</f>
        <v>  General and administrative expenses</v>
      </c>
      <c r="B124" s="44">
        <v>-6124.218410431256</v>
      </c>
      <c r="C124" s="44">
        <v>-6242.975178176046</v>
      </c>
      <c r="D124" s="44">
        <v>-6470.555111058462</v>
      </c>
      <c r="E124" s="45">
        <v>-6488.800564479181</v>
      </c>
      <c r="F124" s="44">
        <v>-6132.005624927739</v>
      </c>
      <c r="G124" s="44">
        <v>-6210.175676052289</v>
      </c>
      <c r="H124" s="44">
        <v>-6394.11559263918</v>
      </c>
    </row>
    <row r="125" spans="1:8" ht="15">
      <c r="A125" s="43" t="str">
        <f>HLOOKUP(INDICE!$F$2,Nombres!$C$3:$D$636,42,FALSE)</f>
        <v>  Depreciation</v>
      </c>
      <c r="B125" s="44">
        <v>-1393.7043915868041</v>
      </c>
      <c r="C125" s="44">
        <v>-1417.8166145065343</v>
      </c>
      <c r="D125" s="44">
        <v>-1460.3736331827126</v>
      </c>
      <c r="E125" s="45">
        <v>-1473.428996406448</v>
      </c>
      <c r="F125" s="44">
        <v>-1832.6227366152839</v>
      </c>
      <c r="G125" s="44">
        <v>-1893.45965101287</v>
      </c>
      <c r="H125" s="44">
        <v>-1895.3949526056576</v>
      </c>
    </row>
    <row r="126" spans="1:8" ht="15">
      <c r="A126" s="41" t="str">
        <f>HLOOKUP(INDICE!$F$2,Nombres!$C$3:$D$636,43,FALSE)</f>
        <v>Operating income</v>
      </c>
      <c r="B126" s="41">
        <f>+B120+B121</f>
        <v>26210.367665407306</v>
      </c>
      <c r="C126" s="41">
        <f aca="true" t="shared" si="20" ref="C126:H126">+C120+C121</f>
        <v>27076.117921769</v>
      </c>
      <c r="D126" s="41">
        <f t="shared" si="20"/>
        <v>27710.331194388476</v>
      </c>
      <c r="E126" s="42">
        <f t="shared" si="20"/>
        <v>27995.68083490967</v>
      </c>
      <c r="F126" s="52">
        <f t="shared" si="20"/>
        <v>27652.361805217242</v>
      </c>
      <c r="G126" s="52">
        <f t="shared" si="20"/>
        <v>28870.690652583766</v>
      </c>
      <c r="H126" s="52">
        <f t="shared" si="20"/>
        <v>29013.467743257213</v>
      </c>
    </row>
    <row r="127" spans="1:8" ht="15">
      <c r="A127" s="43" t="str">
        <f>HLOOKUP(INDICE!$F$2,Nombres!$C$3:$D$636,44,FALSE)</f>
        <v>Impaiment on financial assets not measured at fair value through profit or loss</v>
      </c>
      <c r="B127" s="44">
        <v>-8681.671581736087</v>
      </c>
      <c r="C127" s="44">
        <v>-7658.008979358869</v>
      </c>
      <c r="D127" s="44">
        <v>-7652.20229741213</v>
      </c>
      <c r="E127" s="45">
        <v>-11312.994082052357</v>
      </c>
      <c r="F127" s="44">
        <v>-8603.891622304962</v>
      </c>
      <c r="G127" s="44">
        <v>-9101.079983341657</v>
      </c>
      <c r="H127" s="44">
        <v>-9076.847028139506</v>
      </c>
    </row>
    <row r="128" spans="1:8" ht="15">
      <c r="A128" s="43" t="str">
        <f>HLOOKUP(INDICE!$F$2,Nombres!$C$3:$D$636,45,FALSE)</f>
        <v>Provisions or reversal of provisions and other results</v>
      </c>
      <c r="B128" s="44">
        <v>477.4465536306671</v>
      </c>
      <c r="C128" s="44">
        <v>760.2859857221463</v>
      </c>
      <c r="D128" s="44">
        <v>-509.3953030462266</v>
      </c>
      <c r="E128" s="45">
        <v>-191.55583498064004</v>
      </c>
      <c r="F128" s="44">
        <v>80.68124561858839</v>
      </c>
      <c r="G128" s="44">
        <v>-287.05777671459373</v>
      </c>
      <c r="H128" s="44">
        <v>-99.66604322244578</v>
      </c>
    </row>
    <row r="129" spans="1:8" ht="15">
      <c r="A129" s="41" t="str">
        <f>HLOOKUP(INDICE!$F$2,Nombres!$C$3:$D$636,46,FALSE)</f>
        <v>Profit/(loss) before tax</v>
      </c>
      <c r="B129" s="41">
        <f>+B126+B127+B128</f>
        <v>18006.142637301884</v>
      </c>
      <c r="C129" s="41">
        <f aca="true" t="shared" si="21" ref="C129:H129">+C126+C127+C128</f>
        <v>20178.394928132275</v>
      </c>
      <c r="D129" s="41">
        <f t="shared" si="21"/>
        <v>19548.733593930123</v>
      </c>
      <c r="E129" s="42">
        <f t="shared" si="21"/>
        <v>16491.13091787667</v>
      </c>
      <c r="F129" s="52">
        <f t="shared" si="21"/>
        <v>19129.151428530866</v>
      </c>
      <c r="G129" s="52">
        <f t="shared" si="21"/>
        <v>19482.552892527514</v>
      </c>
      <c r="H129" s="52">
        <f t="shared" si="21"/>
        <v>19836.954671895262</v>
      </c>
    </row>
    <row r="130" spans="1:8" ht="15">
      <c r="A130" s="43" t="str">
        <f>HLOOKUP(INDICE!$F$2,Nombres!$C$3:$D$636,47,FALSE)</f>
        <v>Income tax</v>
      </c>
      <c r="B130" s="44">
        <v>-4937.116680565794</v>
      </c>
      <c r="C130" s="44">
        <v>-5552.395414019444</v>
      </c>
      <c r="D130" s="44">
        <v>-5452.8991418577725</v>
      </c>
      <c r="E130" s="45">
        <v>-4524.287675554084</v>
      </c>
      <c r="F130" s="44">
        <v>-5451.701443737535</v>
      </c>
      <c r="G130" s="44">
        <v>-5297.8843279389</v>
      </c>
      <c r="H130" s="44">
        <v>-5187.662210574808</v>
      </c>
    </row>
    <row r="131" spans="1:8" ht="15">
      <c r="A131" s="41" t="str">
        <f>HLOOKUP(INDICE!$F$2,Nombres!$C$3:$D$636,48,FALSE)</f>
        <v>Profit/(loss) for the year</v>
      </c>
      <c r="B131" s="41">
        <f>+B129+B130</f>
        <v>13069.02595673609</v>
      </c>
      <c r="C131" s="41">
        <f aca="true" t="shared" si="22" ref="C131:H131">+C129+C130</f>
        <v>14625.999514112831</v>
      </c>
      <c r="D131" s="41">
        <f t="shared" si="22"/>
        <v>14095.834452072351</v>
      </c>
      <c r="E131" s="42">
        <f t="shared" si="22"/>
        <v>11966.843242322588</v>
      </c>
      <c r="F131" s="52">
        <f t="shared" si="22"/>
        <v>13677.449984793331</v>
      </c>
      <c r="G131" s="52">
        <f t="shared" si="22"/>
        <v>14184.668564588614</v>
      </c>
      <c r="H131" s="52">
        <f t="shared" si="22"/>
        <v>14649.292461320454</v>
      </c>
    </row>
    <row r="132" spans="1:8" ht="15">
      <c r="A132" s="43" t="str">
        <f>HLOOKUP(INDICE!$F$2,Nombres!$C$3:$D$636,49,FALSE)</f>
        <v>Non-controlling interests</v>
      </c>
      <c r="B132" s="44">
        <v>-2.280685587910063</v>
      </c>
      <c r="C132" s="44">
        <v>-2.6816926607166276</v>
      </c>
      <c r="D132" s="44">
        <v>-2.5863359688763223</v>
      </c>
      <c r="E132" s="45">
        <v>-2.282363795393182</v>
      </c>
      <c r="F132" s="44">
        <v>-2.4640488460162144</v>
      </c>
      <c r="G132" s="44">
        <v>-2.7538219099967964</v>
      </c>
      <c r="H132" s="44">
        <v>-2.569472123979648</v>
      </c>
    </row>
    <row r="133" spans="1:8" ht="15">
      <c r="A133" s="47" t="str">
        <f>HLOOKUP(INDICE!$F$2,Nombres!$C$3:$D$636,50,FALSE)</f>
        <v>Net attributable profit</v>
      </c>
      <c r="B133" s="47">
        <f>+B131+B132</f>
        <v>13066.74527114818</v>
      </c>
      <c r="C133" s="47">
        <f aca="true" t="shared" si="23" ref="C133:H133">+C131+C132</f>
        <v>14623.317821452114</v>
      </c>
      <c r="D133" s="47">
        <f t="shared" si="23"/>
        <v>14093.248116103476</v>
      </c>
      <c r="E133" s="47">
        <f t="shared" si="23"/>
        <v>11964.560878527194</v>
      </c>
      <c r="F133" s="53">
        <f t="shared" si="23"/>
        <v>13674.985935947316</v>
      </c>
      <c r="G133" s="53">
        <f t="shared" si="23"/>
        <v>14181.914742678617</v>
      </c>
      <c r="H133" s="53">
        <f t="shared" si="23"/>
        <v>14646.722989196474</v>
      </c>
    </row>
    <row r="134" spans="1:8" ht="15">
      <c r="A134" s="65"/>
      <c r="B134" s="66">
        <v>2.000888343900442E-11</v>
      </c>
      <c r="C134" s="66">
        <v>0</v>
      </c>
      <c r="D134" s="66">
        <v>0</v>
      </c>
      <c r="E134" s="66">
        <v>0</v>
      </c>
      <c r="F134" s="66">
        <v>0</v>
      </c>
      <c r="G134" s="66">
        <v>0</v>
      </c>
      <c r="H134" s="66">
        <v>0</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HLOOKUP(INDICE!$F$2,Nombres!$C$3:$D$636,74,FALSE)</f>
        <v>(Million Mexican pesos)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174541.8402973308</v>
      </c>
      <c r="C139" s="44">
        <v>135644.85275610368</v>
      </c>
      <c r="D139" s="44">
        <v>135580.30230430805</v>
      </c>
      <c r="E139" s="45">
        <v>186094.3994606388</v>
      </c>
      <c r="F139" s="44">
        <v>188235.69100454723</v>
      </c>
      <c r="G139" s="44">
        <v>219319.49832444338</v>
      </c>
      <c r="H139" s="44">
        <v>146542.98150852794</v>
      </c>
    </row>
    <row r="140" spans="1:8" ht="15">
      <c r="A140" s="43" t="str">
        <f>HLOOKUP(INDICE!$F$2,Nombres!$C$3:$D$636,53,FALSE)</f>
        <v>Financial assets designated at fair value </v>
      </c>
      <c r="B140" s="60">
        <v>629135.6459060705</v>
      </c>
      <c r="C140" s="60">
        <v>647385.6257009816</v>
      </c>
      <c r="D140" s="60">
        <v>587072.7229167573</v>
      </c>
      <c r="E140" s="68">
        <v>585290.4633378318</v>
      </c>
      <c r="F140" s="44">
        <v>568152.6883642881</v>
      </c>
      <c r="G140" s="44">
        <v>619806.9883876827</v>
      </c>
      <c r="H140" s="44">
        <v>657917.8006813993</v>
      </c>
    </row>
    <row r="141" spans="1:8" ht="15">
      <c r="A141" s="43" t="str">
        <f>HLOOKUP(INDICE!$F$2,Nombres!$C$3:$D$636,54,FALSE)</f>
        <v>Financial assets at amortized cost</v>
      </c>
      <c r="B141" s="44">
        <v>1199077.0582286294</v>
      </c>
      <c r="C141" s="44">
        <v>1278430.2221817723</v>
      </c>
      <c r="D141" s="44">
        <v>1280972.4049303043</v>
      </c>
      <c r="E141" s="45">
        <v>1297996.806117184</v>
      </c>
      <c r="F141" s="44">
        <v>1317815.0356891318</v>
      </c>
      <c r="G141" s="44">
        <v>1342155.7038358012</v>
      </c>
      <c r="H141" s="44">
        <v>1385374.8383606202</v>
      </c>
    </row>
    <row r="142" spans="1:8" ht="15">
      <c r="A142" s="43" t="str">
        <f>HLOOKUP(INDICE!$F$2,Nombres!$C$3:$D$636,55,FALSE)</f>
        <v>    of which loans and advances to customers</v>
      </c>
      <c r="B142" s="44">
        <v>1064231.6702338103</v>
      </c>
      <c r="C142" s="44">
        <v>1132603.0936093628</v>
      </c>
      <c r="D142" s="44">
        <v>1133394.1934917453</v>
      </c>
      <c r="E142" s="45">
        <v>1149381.196580072</v>
      </c>
      <c r="F142" s="44">
        <v>1160034.0943411128</v>
      </c>
      <c r="G142" s="44">
        <v>1187709.6539211795</v>
      </c>
      <c r="H142" s="44">
        <v>1212268.3698709821</v>
      </c>
    </row>
    <row r="143" spans="1:8" ht="15">
      <c r="A143" s="43" t="str">
        <f>HLOOKUP(INDICE!$F$2,Nombres!$C$3:$D$636,56,FALSE)</f>
        <v>Tangible assets</v>
      </c>
      <c r="B143" s="44">
        <v>40339.94819236401</v>
      </c>
      <c r="C143" s="44">
        <v>39687.961924810654</v>
      </c>
      <c r="D143" s="44">
        <v>39281.22141394781</v>
      </c>
      <c r="E143" s="45">
        <v>40214.552406432755</v>
      </c>
      <c r="F143" s="44">
        <v>44020.73487716176</v>
      </c>
      <c r="G143" s="44">
        <v>44087.03200748709</v>
      </c>
      <c r="H143" s="44">
        <v>42839.03514675434</v>
      </c>
    </row>
    <row r="144" spans="1:8" ht="15">
      <c r="A144" s="43" t="str">
        <f>HLOOKUP(INDICE!$F$2,Nombres!$C$3:$D$636,57,FALSE)</f>
        <v>Other assets</v>
      </c>
      <c r="B144" s="60">
        <f>+B145-B143-B141-B140-B139</f>
        <v>80515.17764477973</v>
      </c>
      <c r="C144" s="60">
        <f aca="true" t="shared" si="25" ref="C144:H144">+C145-C143-C141-C140-C139</f>
        <v>86330.60504748026</v>
      </c>
      <c r="D144" s="60">
        <f t="shared" si="25"/>
        <v>72070.31372979935</v>
      </c>
      <c r="E144" s="68">
        <f t="shared" si="25"/>
        <v>81853.66822627091</v>
      </c>
      <c r="F144" s="44">
        <f t="shared" si="25"/>
        <v>88565.48418358696</v>
      </c>
      <c r="G144" s="44">
        <f t="shared" si="25"/>
        <v>73731.77623035011</v>
      </c>
      <c r="H144" s="44">
        <f t="shared" si="25"/>
        <v>65524.14394271496</v>
      </c>
    </row>
    <row r="145" spans="1:8" ht="15">
      <c r="A145" s="47" t="str">
        <f>HLOOKUP(INDICE!$F$2,Nombres!$C$3:$D$636,58,FALSE)</f>
        <v>Total assets / Liabilities and equity</v>
      </c>
      <c r="B145" s="47">
        <v>2123609.6702691745</v>
      </c>
      <c r="C145" s="47">
        <v>2187479.2676111483</v>
      </c>
      <c r="D145" s="47">
        <v>2114976.965295117</v>
      </c>
      <c r="E145" s="47">
        <v>2191449.889548358</v>
      </c>
      <c r="F145" s="53">
        <v>2206789.6341187158</v>
      </c>
      <c r="G145" s="53">
        <v>2299100.9987857644</v>
      </c>
      <c r="H145" s="53">
        <v>2298198.7996400166</v>
      </c>
    </row>
    <row r="146" spans="1:8" ht="15">
      <c r="A146" s="43" t="str">
        <f>HLOOKUP(INDICE!$F$2,Nombres!$C$3:$D$636,59,FALSE)</f>
        <v>Financial liabilities held for trading and designated at fair value through profit or loss</v>
      </c>
      <c r="B146" s="60">
        <v>431735.44318053836</v>
      </c>
      <c r="C146" s="60">
        <v>394806.2604397867</v>
      </c>
      <c r="D146" s="60">
        <v>355008.6901596462</v>
      </c>
      <c r="E146" s="68">
        <v>405486.4597390914</v>
      </c>
      <c r="F146" s="44">
        <v>384954.6670363007</v>
      </c>
      <c r="G146" s="44">
        <v>451272.5727078153</v>
      </c>
      <c r="H146" s="44">
        <v>489769.7507951645</v>
      </c>
    </row>
    <row r="147" spans="1:8" ht="15">
      <c r="A147" s="43" t="str">
        <f>HLOOKUP(INDICE!$F$2,Nombres!$C$3:$D$636,60,FALSE)</f>
        <v>Deposits from central banks and credit institutions</v>
      </c>
      <c r="B147" s="60">
        <v>32613.222209708278</v>
      </c>
      <c r="C147" s="60">
        <v>45468.64059629774</v>
      </c>
      <c r="D147" s="60">
        <v>57908.21971511956</v>
      </c>
      <c r="E147" s="68">
        <v>15369.118308592002</v>
      </c>
      <c r="F147" s="44">
        <v>76637.73017768706</v>
      </c>
      <c r="G147" s="44">
        <v>40756.32466354714</v>
      </c>
      <c r="H147" s="44">
        <v>45146.69120516265</v>
      </c>
    </row>
    <row r="148" spans="1:8" ht="15">
      <c r="A148" s="43" t="str">
        <f>HLOOKUP(INDICE!$F$2,Nombres!$C$3:$D$636,61,FALSE)</f>
        <v>Deposits from customers</v>
      </c>
      <c r="B148" s="60">
        <v>1070432.6613364117</v>
      </c>
      <c r="C148" s="60">
        <v>1134315.1271084365</v>
      </c>
      <c r="D148" s="60">
        <v>1096110.859432635</v>
      </c>
      <c r="E148" s="68">
        <v>1136517.1390013495</v>
      </c>
      <c r="F148" s="44">
        <v>1104159.0544361826</v>
      </c>
      <c r="G148" s="44">
        <v>1155595.070764253</v>
      </c>
      <c r="H148" s="44">
        <v>1133235.8264500974</v>
      </c>
    </row>
    <row r="149" spans="1:8" ht="15">
      <c r="A149" s="43" t="str">
        <f>HLOOKUP(INDICE!$F$2,Nombres!$C$3:$D$636,62,FALSE)</f>
        <v>Debt certificates</v>
      </c>
      <c r="B149" s="44">
        <v>178008.75696564929</v>
      </c>
      <c r="C149" s="44">
        <v>183339.29020891013</v>
      </c>
      <c r="D149" s="44">
        <v>186756.82798275037</v>
      </c>
      <c r="E149" s="45">
        <v>192662.79802069278</v>
      </c>
      <c r="F149" s="44">
        <v>196753.6354529159</v>
      </c>
      <c r="G149" s="44">
        <v>207544.87050222696</v>
      </c>
      <c r="H149" s="44">
        <v>200427.43265232208</v>
      </c>
    </row>
    <row r="150" spans="1:8" ht="15">
      <c r="A150" s="43" t="str">
        <f>HLOOKUP(INDICE!$F$2,Nombres!$C$3:$D$636,63,FALSE)</f>
        <v>Other liabilities</v>
      </c>
      <c r="B150" s="60">
        <f>+B145-B146-B147-B148-B149-B151</f>
        <v>330009.3243847281</v>
      </c>
      <c r="C150" s="60">
        <f aca="true" t="shared" si="26" ref="C150:H150">+C145-C146-C147-C148-C149-C151</f>
        <v>337760.9734434711</v>
      </c>
      <c r="D150" s="60">
        <f t="shared" si="26"/>
        <v>326018.94672409276</v>
      </c>
      <c r="E150" s="68">
        <f t="shared" si="26"/>
        <v>348286.06366441754</v>
      </c>
      <c r="F150" s="44">
        <f t="shared" si="26"/>
        <v>358867.0583550965</v>
      </c>
      <c r="G150" s="44">
        <f t="shared" si="26"/>
        <v>355377.42255510436</v>
      </c>
      <c r="H150" s="44">
        <f t="shared" si="26"/>
        <v>334451.90725153557</v>
      </c>
    </row>
    <row r="151" spans="1:8" ht="15">
      <c r="A151" s="43" t="str">
        <f>HLOOKUP(INDICE!$F$2,Nombres!$C$3:$D$636,64,FALSE)</f>
        <v>Economic capital allocated</v>
      </c>
      <c r="B151" s="44">
        <v>80810.26219213879</v>
      </c>
      <c r="C151" s="44">
        <v>91788.97581424612</v>
      </c>
      <c r="D151" s="44">
        <v>93173.42128087295</v>
      </c>
      <c r="E151" s="45">
        <v>93128.31081421504</v>
      </c>
      <c r="F151" s="44">
        <v>85417.488660533</v>
      </c>
      <c r="G151" s="44">
        <v>88554.73759281778</v>
      </c>
      <c r="H151" s="44">
        <v>95167.19128573444</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69" t="str">
        <f>HLOOKUP(INDICE!$F$2,Nombres!$C$3:$D$636,65,FALSE)</f>
        <v>Relevant business indicators</v>
      </c>
      <c r="B154" s="70"/>
      <c r="C154" s="70"/>
      <c r="D154" s="70"/>
      <c r="E154" s="70"/>
      <c r="F154" s="75"/>
      <c r="G154" s="75"/>
      <c r="H154" s="75"/>
    </row>
    <row r="155" spans="1:8" ht="15">
      <c r="A155" s="35" t="str">
        <f>HLOOKUP(INDICE!$F$2,Nombres!$C$3:$D$636,74,FALSE)</f>
        <v>(Million Mexican pesos)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1097826.5261579007</v>
      </c>
      <c r="C157" s="44">
        <v>1157284.5906718073</v>
      </c>
      <c r="D157" s="44">
        <v>1158404.9568704532</v>
      </c>
      <c r="E157" s="45">
        <v>1181400.116488754</v>
      </c>
      <c r="F157" s="44">
        <v>1200707.5591363257</v>
      </c>
      <c r="G157" s="44">
        <v>1229234.0233666492</v>
      </c>
      <c r="H157" s="44">
        <v>1254991.6677322276</v>
      </c>
    </row>
    <row r="158" spans="1:8" ht="15.75" customHeight="1">
      <c r="A158" s="43" t="str">
        <f>HLOOKUP(INDICE!$F$2,Nombres!$C$3:$D$636,67,FALSE)</f>
        <v>Customer deposits under management (*)</v>
      </c>
      <c r="B158" s="44">
        <v>1036690.0364815858</v>
      </c>
      <c r="C158" s="44">
        <v>1101557.516335492</v>
      </c>
      <c r="D158" s="44">
        <v>1072928.5610260486</v>
      </c>
      <c r="E158" s="45">
        <v>1118757.547265407</v>
      </c>
      <c r="F158" s="44">
        <v>1102540.990208101</v>
      </c>
      <c r="G158" s="44">
        <v>1149461.3708387043</v>
      </c>
      <c r="H158" s="44">
        <v>1123872.2795458618</v>
      </c>
    </row>
    <row r="159" spans="1:8" ht="15.75" customHeight="1">
      <c r="A159" s="43" t="str">
        <f>HLOOKUP(INDICE!$F$2,Nombres!$C$3:$D$636,68,FALSE)</f>
        <v>Mutual funds</v>
      </c>
      <c r="B159" s="44">
        <v>396168.48294740403</v>
      </c>
      <c r="C159" s="44">
        <v>410343.6784264238</v>
      </c>
      <c r="D159" s="44">
        <v>417323.041581217</v>
      </c>
      <c r="E159" s="45">
        <v>398843.595888664</v>
      </c>
      <c r="F159" s="44">
        <v>424123.2471741528</v>
      </c>
      <c r="G159" s="44">
        <v>442778.5166706118</v>
      </c>
      <c r="H159" s="44">
        <v>455989.6467906783</v>
      </c>
    </row>
    <row r="160" spans="1:8" ht="15.75" customHeight="1">
      <c r="A160" s="43" t="str">
        <f>HLOOKUP(INDICE!$F$2,Nombres!$C$3:$D$636,69,FALSE)</f>
        <v>Pension funds</v>
      </c>
      <c r="B160" s="44" t="s">
        <v>407</v>
      </c>
      <c r="C160" s="44" t="s">
        <v>407</v>
      </c>
      <c r="D160" s="44" t="s">
        <v>407</v>
      </c>
      <c r="E160" s="45" t="s">
        <v>407</v>
      </c>
      <c r="F160" s="44" t="s">
        <v>407</v>
      </c>
      <c r="G160" s="44" t="s">
        <v>407</v>
      </c>
      <c r="H160" s="44" t="s">
        <v>407</v>
      </c>
    </row>
    <row r="161" spans="1:8" ht="15">
      <c r="A161" s="43" t="str">
        <f>HLOOKUP(INDICE!$F$2,Nombres!$C$3:$D$636,70,FALSE)</f>
        <v>Other off balance-sheet funds</v>
      </c>
      <c r="B161" s="44">
        <v>55061.688916319414</v>
      </c>
      <c r="C161" s="44">
        <v>66128.78810722377</v>
      </c>
      <c r="D161" s="44">
        <v>68868.88914535871</v>
      </c>
      <c r="E161" s="45">
        <v>65540.39234750337</v>
      </c>
      <c r="F161" s="44">
        <v>69208.57773667312</v>
      </c>
      <c r="G161" s="44">
        <v>68225.07106956802</v>
      </c>
      <c r="H161" s="44">
        <v>62181.257023063736</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HLOOKUP(INDICE!$F$2,Nombres!$C$3:$D$636,12,FALSE)</f>
        <v>Turkey </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752.75199999</v>
      </c>
      <c r="C8" s="41">
        <v>757.0370000199999</v>
      </c>
      <c r="D8" s="41">
        <v>693.8879999800004</v>
      </c>
      <c r="E8" s="42">
        <v>931.0830000199994</v>
      </c>
      <c r="F8" s="52">
        <v>694.767</v>
      </c>
      <c r="G8" s="52">
        <v>658.48600001</v>
      </c>
      <c r="H8" s="52">
        <v>676.0629999899999</v>
      </c>
    </row>
    <row r="9" spans="1:8" ht="15">
      <c r="A9" s="43" t="str">
        <f>HLOOKUP(INDICE!$F$2,Nombres!$C$3:$D$636,34,FALSE)</f>
        <v>Net fees and commissions</v>
      </c>
      <c r="B9" s="44">
        <v>200.90700001</v>
      </c>
      <c r="C9" s="44">
        <v>170.18</v>
      </c>
      <c r="D9" s="44">
        <v>144.10299998</v>
      </c>
      <c r="E9" s="45">
        <v>170.54400002</v>
      </c>
      <c r="F9" s="44">
        <v>194.04399999999998</v>
      </c>
      <c r="G9" s="44">
        <v>166.10899999</v>
      </c>
      <c r="H9" s="44">
        <v>187.04899999999998</v>
      </c>
    </row>
    <row r="10" spans="1:8" ht="15">
      <c r="A10" s="43" t="str">
        <f>HLOOKUP(INDICE!$F$2,Nombres!$C$3:$D$636,35,FALSE)</f>
        <v>Net trading income</v>
      </c>
      <c r="B10" s="44">
        <v>19.76300002000002</v>
      </c>
      <c r="C10" s="44">
        <v>-15.696000030000036</v>
      </c>
      <c r="D10" s="44">
        <v>27.303999989999944</v>
      </c>
      <c r="E10" s="45">
        <v>-20.420999989999903</v>
      </c>
      <c r="F10" s="44">
        <v>-10.990999979999998</v>
      </c>
      <c r="G10" s="44">
        <v>-54.48300001999996</v>
      </c>
      <c r="H10" s="44">
        <v>0.060000009999967574</v>
      </c>
    </row>
    <row r="11" spans="1:8" ht="15">
      <c r="A11" s="43" t="str">
        <f>HLOOKUP(INDICE!$F$2,Nombres!$C$3:$D$636,36,FALSE)</f>
        <v>Other operating income and expenses</v>
      </c>
      <c r="B11" s="44">
        <v>22.98000001</v>
      </c>
      <c r="C11" s="44">
        <v>15.962999989999997</v>
      </c>
      <c r="D11" s="44">
        <v>11.612000000000018</v>
      </c>
      <c r="E11" s="45">
        <v>18.973999999999947</v>
      </c>
      <c r="F11" s="44">
        <v>5.854000010000005</v>
      </c>
      <c r="G11" s="44">
        <v>23.702999999999996</v>
      </c>
      <c r="H11" s="44">
        <v>7.051999989999992</v>
      </c>
    </row>
    <row r="12" spans="1:8" ht="15">
      <c r="A12" s="41" t="str">
        <f>HLOOKUP(INDICE!$F$2,Nombres!$C$3:$D$636,37,FALSE)</f>
        <v>Gross income</v>
      </c>
      <c r="B12" s="41">
        <f>+SUM(B8:B11)</f>
        <v>996.40200003</v>
      </c>
      <c r="C12" s="41">
        <f aca="true" t="shared" si="0" ref="C12:H12">+SUM(C8:C11)</f>
        <v>927.4839999799998</v>
      </c>
      <c r="D12" s="41">
        <f t="shared" si="0"/>
        <v>876.9069999500003</v>
      </c>
      <c r="E12" s="42">
        <f t="shared" si="0"/>
        <v>1100.1800000499995</v>
      </c>
      <c r="F12" s="52">
        <f t="shared" si="0"/>
        <v>883.6740000300001</v>
      </c>
      <c r="G12" s="52">
        <f t="shared" si="0"/>
        <v>793.81499998</v>
      </c>
      <c r="H12" s="52">
        <f t="shared" si="0"/>
        <v>870.2239999899998</v>
      </c>
    </row>
    <row r="13" spans="1:8" ht="15">
      <c r="A13" s="43" t="str">
        <f>HLOOKUP(INDICE!$F$2,Nombres!$C$3:$D$636,38,FALSE)</f>
        <v>Operating expenses</v>
      </c>
      <c r="B13" s="44">
        <v>-355.39929101</v>
      </c>
      <c r="C13" s="44">
        <v>-323.5970895</v>
      </c>
      <c r="D13" s="44">
        <v>-237.72789657999996</v>
      </c>
      <c r="E13" s="45">
        <v>-330.4864286200001</v>
      </c>
      <c r="F13" s="44">
        <v>-312.8470845</v>
      </c>
      <c r="G13" s="44">
        <v>-281.0213690400001</v>
      </c>
      <c r="H13" s="44">
        <v>-292.49248511999997</v>
      </c>
    </row>
    <row r="14" spans="1:8" ht="15">
      <c r="A14" s="43" t="str">
        <f>HLOOKUP(INDICE!$F$2,Nombres!$C$3:$D$636,39,FALSE)</f>
        <v>  Administration expenses</v>
      </c>
      <c r="B14" s="44">
        <v>-315.07926902</v>
      </c>
      <c r="C14" s="44">
        <v>-285.6970684900001</v>
      </c>
      <c r="D14" s="44">
        <v>-210.69587457999998</v>
      </c>
      <c r="E14" s="45">
        <v>-297.4284056300001</v>
      </c>
      <c r="F14" s="44">
        <v>-268.71006250999994</v>
      </c>
      <c r="G14" s="44">
        <v>-239.26134803000002</v>
      </c>
      <c r="H14" s="44">
        <v>-246.00046311999995</v>
      </c>
    </row>
    <row r="15" spans="1:8" ht="15">
      <c r="A15" s="46" t="str">
        <f>HLOOKUP(INDICE!$F$2,Nombres!$C$3:$D$636,40,FALSE)</f>
        <v>  Personnel expenses</v>
      </c>
      <c r="B15" s="44">
        <v>-177.24811214</v>
      </c>
      <c r="C15" s="44">
        <v>-179.13309198</v>
      </c>
      <c r="D15" s="44">
        <v>-129.46889800999998</v>
      </c>
      <c r="E15" s="45">
        <v>-169.92142911000002</v>
      </c>
      <c r="F15" s="44">
        <v>-171.44995514</v>
      </c>
      <c r="G15" s="44">
        <v>-163.97826908</v>
      </c>
      <c r="H15" s="44">
        <v>-171.27935614</v>
      </c>
    </row>
    <row r="16" spans="1:8" ht="15">
      <c r="A16" s="46" t="str">
        <f>HLOOKUP(INDICE!$F$2,Nombres!$C$3:$D$636,41,FALSE)</f>
        <v>  General and administrative expenses</v>
      </c>
      <c r="B16" s="44">
        <v>-137.83115688</v>
      </c>
      <c r="C16" s="44">
        <v>-106.56397651000003</v>
      </c>
      <c r="D16" s="44">
        <v>-81.22697656999999</v>
      </c>
      <c r="E16" s="45">
        <v>-127.50697652000005</v>
      </c>
      <c r="F16" s="44">
        <v>-97.26010736999999</v>
      </c>
      <c r="G16" s="44">
        <v>-75.28307894999999</v>
      </c>
      <c r="H16" s="44">
        <v>-74.72110697999997</v>
      </c>
    </row>
    <row r="17" spans="1:8" ht="15">
      <c r="A17" s="43" t="str">
        <f>HLOOKUP(INDICE!$F$2,Nombres!$C$3:$D$636,42,FALSE)</f>
        <v>  Depreciation</v>
      </c>
      <c r="B17" s="44">
        <v>-40.32002199</v>
      </c>
      <c r="C17" s="44">
        <v>-37.90002101</v>
      </c>
      <c r="D17" s="44">
        <v>-27.032021999999998</v>
      </c>
      <c r="E17" s="45">
        <v>-33.05802299</v>
      </c>
      <c r="F17" s="44">
        <v>-44.13702199</v>
      </c>
      <c r="G17" s="44">
        <v>-41.76002101</v>
      </c>
      <c r="H17" s="44">
        <v>-46.492022</v>
      </c>
    </row>
    <row r="18" spans="1:8" ht="15">
      <c r="A18" s="41" t="str">
        <f>HLOOKUP(INDICE!$F$2,Nombres!$C$3:$D$636,43,FALSE)</f>
        <v>Operating income</v>
      </c>
      <c r="B18" s="41">
        <f>+B12+B13</f>
        <v>641.0027090199999</v>
      </c>
      <c r="C18" s="41">
        <f aca="true" t="shared" si="1" ref="C18:H18">+C12+C13</f>
        <v>603.8869104799999</v>
      </c>
      <c r="D18" s="41">
        <f t="shared" si="1"/>
        <v>639.1791033700003</v>
      </c>
      <c r="E18" s="42">
        <f t="shared" si="1"/>
        <v>769.6935714299995</v>
      </c>
      <c r="F18" s="52">
        <f t="shared" si="1"/>
        <v>570.8269155300002</v>
      </c>
      <c r="G18" s="52">
        <f t="shared" si="1"/>
        <v>512.79363094</v>
      </c>
      <c r="H18" s="52">
        <f t="shared" si="1"/>
        <v>577.7315148699998</v>
      </c>
    </row>
    <row r="19" spans="1:8" ht="15">
      <c r="A19" s="43" t="str">
        <f>HLOOKUP(INDICE!$F$2,Nombres!$C$3:$D$636,44,FALSE)</f>
        <v>Impaiment on financial assets not measured at fair value through profit or loss</v>
      </c>
      <c r="B19" s="44">
        <v>-150.51945324999997</v>
      </c>
      <c r="C19" s="44">
        <v>-164.83222990000002</v>
      </c>
      <c r="D19" s="44">
        <v>-322.32590655000007</v>
      </c>
      <c r="E19" s="45">
        <v>-563.9358388299999</v>
      </c>
      <c r="F19" s="44">
        <v>-201.54964351</v>
      </c>
      <c r="G19" s="44">
        <v>-135.36224724999997</v>
      </c>
      <c r="H19" s="44">
        <v>-307.61588047999993</v>
      </c>
    </row>
    <row r="20" spans="1:8" ht="15">
      <c r="A20" s="43" t="str">
        <f>HLOOKUP(INDICE!$F$2,Nombres!$C$3:$D$636,45,FALSE)</f>
        <v>Provisions or reversal of provisions and other results</v>
      </c>
      <c r="B20" s="44">
        <v>28.770999990000004</v>
      </c>
      <c r="C20" s="44">
        <v>5.643000010000001</v>
      </c>
      <c r="D20" s="44">
        <v>-17.04900000000001</v>
      </c>
      <c r="E20" s="45">
        <v>-25.27199999999999</v>
      </c>
      <c r="F20" s="44">
        <v>-1.2579999899999965</v>
      </c>
      <c r="G20" s="44">
        <v>-19.946000010000002</v>
      </c>
      <c r="H20" s="44">
        <v>-13.214</v>
      </c>
    </row>
    <row r="21" spans="1:8" ht="15">
      <c r="A21" s="41" t="str">
        <f>HLOOKUP(INDICE!$F$2,Nombres!$C$3:$D$636,46,FALSE)</f>
        <v>Profit/(loss) before tax</v>
      </c>
      <c r="B21" s="41">
        <f>+B18+B19+B20</f>
        <v>519.2542557599999</v>
      </c>
      <c r="C21" s="41">
        <f aca="true" t="shared" si="2" ref="C21:H21">+C18+C19+C20</f>
        <v>444.69768058999983</v>
      </c>
      <c r="D21" s="41">
        <f t="shared" si="2"/>
        <v>299.80419682000024</v>
      </c>
      <c r="E21" s="42">
        <f t="shared" si="2"/>
        <v>180.4857325999996</v>
      </c>
      <c r="F21" s="52">
        <f t="shared" si="2"/>
        <v>368.0192720300002</v>
      </c>
      <c r="G21" s="52">
        <f t="shared" si="2"/>
        <v>357.48538368</v>
      </c>
      <c r="H21" s="52">
        <f t="shared" si="2"/>
        <v>256.9016343899999</v>
      </c>
    </row>
    <row r="22" spans="1:8" ht="15">
      <c r="A22" s="43" t="str">
        <f>HLOOKUP(INDICE!$F$2,Nombres!$C$3:$D$636,47,FALSE)</f>
        <v>Income tax</v>
      </c>
      <c r="B22" s="44">
        <v>-113.32391269</v>
      </c>
      <c r="C22" s="44">
        <v>-96.49727314999998</v>
      </c>
      <c r="D22" s="44">
        <v>-67.48373104000001</v>
      </c>
      <c r="E22" s="45">
        <v>-15.58257142</v>
      </c>
      <c r="F22" s="44">
        <v>-79.37097462</v>
      </c>
      <c r="G22" s="44">
        <v>-73.37878930999997</v>
      </c>
      <c r="H22" s="44">
        <v>-56.70235449000002</v>
      </c>
    </row>
    <row r="23" spans="1:8" ht="15">
      <c r="A23" s="41" t="str">
        <f>HLOOKUP(INDICE!$F$2,Nombres!$C$3:$D$636,48,FALSE)</f>
        <v>Profit/(loss) for the year</v>
      </c>
      <c r="B23" s="41">
        <f>+B21+B22</f>
        <v>405.9303430699999</v>
      </c>
      <c r="C23" s="41">
        <f aca="true" t="shared" si="3" ref="C23:H23">+C21+C22</f>
        <v>348.2004074399998</v>
      </c>
      <c r="D23" s="41">
        <f t="shared" si="3"/>
        <v>232.32046578000023</v>
      </c>
      <c r="E23" s="42">
        <f t="shared" si="3"/>
        <v>164.9031611799996</v>
      </c>
      <c r="F23" s="52">
        <f t="shared" si="3"/>
        <v>288.64829741000017</v>
      </c>
      <c r="G23" s="52">
        <f t="shared" si="3"/>
        <v>284.10659437000004</v>
      </c>
      <c r="H23" s="52">
        <f t="shared" si="3"/>
        <v>200.1992798999999</v>
      </c>
    </row>
    <row r="24" spans="1:8" ht="15">
      <c r="A24" s="43" t="str">
        <f>HLOOKUP(INDICE!$F$2,Nombres!$C$3:$D$636,49,FALSE)</f>
        <v>Non-controlling interests</v>
      </c>
      <c r="B24" s="44">
        <v>-205.84899999</v>
      </c>
      <c r="C24" s="44">
        <v>-176.70200002</v>
      </c>
      <c r="D24" s="44">
        <v>-118.43799998999997</v>
      </c>
      <c r="E24" s="45">
        <v>-83.83500000000001</v>
      </c>
      <c r="F24" s="44">
        <v>-146.973</v>
      </c>
      <c r="G24" s="44">
        <v>-144.11499998999994</v>
      </c>
      <c r="H24" s="44">
        <v>-102.27800003000004</v>
      </c>
    </row>
    <row r="25" spans="1:8" ht="15">
      <c r="A25" s="47" t="str">
        <f>HLOOKUP(INDICE!$F$2,Nombres!$C$3:$D$636,50,FALSE)</f>
        <v>Net attributable profit</v>
      </c>
      <c r="B25" s="47">
        <f>+B23+B24</f>
        <v>200.08134307999987</v>
      </c>
      <c r="C25" s="47">
        <f aca="true" t="shared" si="4" ref="C25:H25">+C23+C24</f>
        <v>171.4984074199998</v>
      </c>
      <c r="D25" s="47">
        <f t="shared" si="4"/>
        <v>113.88246579000027</v>
      </c>
      <c r="E25" s="47">
        <f t="shared" si="4"/>
        <v>81.0681611799996</v>
      </c>
      <c r="F25" s="53">
        <f t="shared" si="4"/>
        <v>141.67529741000016</v>
      </c>
      <c r="G25" s="53">
        <f t="shared" si="4"/>
        <v>139.9915943800001</v>
      </c>
      <c r="H25" s="53">
        <f t="shared" si="4"/>
        <v>97.92127986999986</v>
      </c>
    </row>
    <row r="26" spans="1:8" ht="15">
      <c r="A26" s="65"/>
      <c r="B26" s="66">
        <v>0</v>
      </c>
      <c r="C26" s="66">
        <v>0</v>
      </c>
      <c r="D26" s="66">
        <v>0</v>
      </c>
      <c r="E26" s="66">
        <v>0</v>
      </c>
      <c r="F26" s="66">
        <v>2.5579538487363607E-13</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2942.108</v>
      </c>
      <c r="C31" s="44">
        <v>4170.675</v>
      </c>
      <c r="D31" s="44">
        <v>7628.376</v>
      </c>
      <c r="E31" s="45">
        <v>7853.152</v>
      </c>
      <c r="F31" s="44">
        <v>7171.252</v>
      </c>
      <c r="G31" s="44">
        <v>7687.286999999999</v>
      </c>
      <c r="H31" s="44">
        <v>7038.539000000001</v>
      </c>
    </row>
    <row r="32" spans="1:8" ht="15">
      <c r="A32" s="43" t="str">
        <f>HLOOKUP(INDICE!$F$2,Nombres!$C$3:$D$636,53,FALSE)</f>
        <v>Financial assets designated at fair value </v>
      </c>
      <c r="B32" s="60">
        <v>5993.430999999999</v>
      </c>
      <c r="C32" s="60">
        <v>5886.098999999999</v>
      </c>
      <c r="D32" s="60">
        <v>5545.427000000001</v>
      </c>
      <c r="E32" s="68">
        <v>5506.3189999999995</v>
      </c>
      <c r="F32" s="44">
        <v>5598.310000000001</v>
      </c>
      <c r="G32" s="44">
        <v>5256.778</v>
      </c>
      <c r="H32" s="44">
        <v>5598.2880000000005</v>
      </c>
    </row>
    <row r="33" spans="1:8" ht="15">
      <c r="A33" s="43" t="str">
        <f>HLOOKUP(INDICE!$F$2,Nombres!$C$3:$D$636,54,FALSE)</f>
        <v>Financial assets at amortized cost</v>
      </c>
      <c r="B33" s="44">
        <v>62420.43899999999</v>
      </c>
      <c r="C33" s="44">
        <v>59843.761</v>
      </c>
      <c r="D33" s="44">
        <v>50343.634000000005</v>
      </c>
      <c r="E33" s="45">
        <v>50314.57</v>
      </c>
      <c r="F33" s="44">
        <v>51655.761</v>
      </c>
      <c r="G33" s="44">
        <v>49118.938</v>
      </c>
      <c r="H33" s="44">
        <v>51878.47099999999</v>
      </c>
    </row>
    <row r="34" spans="1:8" ht="15">
      <c r="A34" s="43" t="str">
        <f>HLOOKUP(INDICE!$F$2,Nombres!$C$3:$D$636,55,FALSE)</f>
        <v>    of which loans and advances to customers</v>
      </c>
      <c r="B34" s="44">
        <v>49751.40400000001</v>
      </c>
      <c r="C34" s="44">
        <v>48529.501000000004</v>
      </c>
      <c r="D34" s="44">
        <v>40832.878</v>
      </c>
      <c r="E34" s="45">
        <v>41477.81500000001</v>
      </c>
      <c r="F34" s="44">
        <v>42025.041000000005</v>
      </c>
      <c r="G34" s="44">
        <v>39286.08600000001</v>
      </c>
      <c r="H34" s="44">
        <v>40775.634000000005</v>
      </c>
    </row>
    <row r="35" spans="1:8" ht="15">
      <c r="A35" s="43" t="str">
        <f>HLOOKUP(INDICE!$F$2,Nombres!$C$3:$D$636,56,FALSE)</f>
        <v>Tangible assets</v>
      </c>
      <c r="B35" s="44">
        <v>1251.661</v>
      </c>
      <c r="C35" s="44">
        <v>1173.6870000000001</v>
      </c>
      <c r="D35" s="44">
        <v>924.191</v>
      </c>
      <c r="E35" s="45">
        <v>1059.395</v>
      </c>
      <c r="F35" s="44">
        <v>1163.893</v>
      </c>
      <c r="G35" s="44">
        <v>1128.5140000000001</v>
      </c>
      <c r="H35" s="44">
        <v>1184.0720000000001</v>
      </c>
    </row>
    <row r="36" spans="1:8" ht="15">
      <c r="A36" s="43" t="str">
        <f>HLOOKUP(INDICE!$F$2,Nombres!$C$3:$D$636,57,FALSE)</f>
        <v>Other assets</v>
      </c>
      <c r="B36" s="60">
        <f>+B37-B35-B33-B32-B31</f>
        <v>1781.4280000000272</v>
      </c>
      <c r="C36" s="60">
        <f aca="true" t="shared" si="5" ref="C36:H36">+C37-C35-C33-C32-C31</f>
        <v>1743.996999999994</v>
      </c>
      <c r="D36" s="60">
        <f t="shared" si="5"/>
        <v>1593.2150000000038</v>
      </c>
      <c r="E36" s="68">
        <f t="shared" si="5"/>
        <v>1516.5539999999946</v>
      </c>
      <c r="F36" s="44">
        <f t="shared" si="5"/>
        <v>1541.0290000000132</v>
      </c>
      <c r="G36" s="44">
        <f t="shared" si="5"/>
        <v>1449.2610000100058</v>
      </c>
      <c r="H36" s="44">
        <f t="shared" si="5"/>
        <v>1456.5460000000057</v>
      </c>
    </row>
    <row r="37" spans="1:8" ht="15">
      <c r="A37" s="47" t="str">
        <f>HLOOKUP(INDICE!$F$2,Nombres!$C$3:$D$636,58,FALSE)</f>
        <v>Total assets / Liabilities and equity</v>
      </c>
      <c r="B37" s="53">
        <v>74389.06700000001</v>
      </c>
      <c r="C37" s="53">
        <v>72818.219</v>
      </c>
      <c r="D37" s="53">
        <v>66034.84300000001</v>
      </c>
      <c r="E37" s="84">
        <v>66249.98999999999</v>
      </c>
      <c r="F37" s="53">
        <v>67130.24500000001</v>
      </c>
      <c r="G37" s="53">
        <v>64640.77800001001</v>
      </c>
      <c r="H37" s="53">
        <v>67155.916</v>
      </c>
    </row>
    <row r="38" spans="1:8" ht="15">
      <c r="A38" s="43" t="str">
        <f>HLOOKUP(INDICE!$F$2,Nombres!$C$3:$D$636,59,FALSE)</f>
        <v>Financial liabilities held for trading and designated at fair value through profit or loss</v>
      </c>
      <c r="B38" s="60">
        <v>1602.3269999999998</v>
      </c>
      <c r="C38" s="60">
        <v>2027.4639999999997</v>
      </c>
      <c r="D38" s="60">
        <v>2561.8630000000003</v>
      </c>
      <c r="E38" s="68">
        <v>1851.6390000000001</v>
      </c>
      <c r="F38" s="44">
        <v>1791.8429999999998</v>
      </c>
      <c r="G38" s="44">
        <v>2275.442</v>
      </c>
      <c r="H38" s="44">
        <v>2490.1990000000005</v>
      </c>
    </row>
    <row r="39" spans="1:8" ht="15">
      <c r="A39" s="43" t="str">
        <f>HLOOKUP(INDICE!$F$2,Nombres!$C$3:$D$636,60,FALSE)</f>
        <v>Deposits from central banks and credit institutions</v>
      </c>
      <c r="B39" s="60">
        <v>9021.180999999999</v>
      </c>
      <c r="C39" s="60">
        <v>9506.204</v>
      </c>
      <c r="D39" s="60">
        <v>8538.965</v>
      </c>
      <c r="E39" s="68">
        <v>6734.256</v>
      </c>
      <c r="F39" s="44">
        <v>6950.101000000001</v>
      </c>
      <c r="G39" s="44">
        <v>5459.238</v>
      </c>
      <c r="H39" s="44">
        <v>4938.094999999999</v>
      </c>
    </row>
    <row r="40" spans="1:8" ht="15.75" customHeight="1">
      <c r="A40" s="43" t="str">
        <f>HLOOKUP(INDICE!$F$2,Nombres!$C$3:$D$636,61,FALSE)</f>
        <v>Deposits from customers</v>
      </c>
      <c r="B40" s="60">
        <v>43246.159</v>
      </c>
      <c r="C40" s="60">
        <v>42308.79</v>
      </c>
      <c r="D40" s="60">
        <v>38841.33</v>
      </c>
      <c r="E40" s="68">
        <v>39904.609</v>
      </c>
      <c r="F40" s="44">
        <v>40544.277</v>
      </c>
      <c r="G40" s="44">
        <v>39455.706</v>
      </c>
      <c r="H40" s="44">
        <v>41650.666</v>
      </c>
    </row>
    <row r="41" spans="1:8" ht="15">
      <c r="A41" s="43" t="str">
        <f>HLOOKUP(INDICE!$F$2,Nombres!$C$3:$D$636,62,FALSE)</f>
        <v>Debt certificates</v>
      </c>
      <c r="B41" s="44">
        <v>6941.177</v>
      </c>
      <c r="C41" s="44">
        <v>6591.478</v>
      </c>
      <c r="D41" s="44">
        <v>5737.755</v>
      </c>
      <c r="E41" s="45">
        <v>5964.205</v>
      </c>
      <c r="F41" s="44">
        <v>6335.299999999999</v>
      </c>
      <c r="G41" s="44">
        <v>5798.932999999999</v>
      </c>
      <c r="H41" s="44">
        <v>4836.344999999999</v>
      </c>
    </row>
    <row r="42" spans="1:8" ht="15">
      <c r="A42" s="43" t="str">
        <f>HLOOKUP(INDICE!$F$2,Nombres!$C$3:$D$636,63,FALSE)</f>
        <v>Other liabilities</v>
      </c>
      <c r="B42" s="60">
        <f>+B37-B38-B39-B40-B41-B43</f>
        <v>11001.93351000001</v>
      </c>
      <c r="C42" s="60">
        <f aca="true" t="shared" si="6" ref="C42:H42">+C37-C38-C39-C40-C41-C43</f>
        <v>10061.012660000008</v>
      </c>
      <c r="D42" s="60">
        <f t="shared" si="6"/>
        <v>8295.87720747001</v>
      </c>
      <c r="E42" s="68">
        <f t="shared" si="6"/>
        <v>9266.511981939992</v>
      </c>
      <c r="F42" s="44">
        <f t="shared" si="6"/>
        <v>8786.053530000007</v>
      </c>
      <c r="G42" s="44">
        <f t="shared" si="6"/>
        <v>9050.855150010013</v>
      </c>
      <c r="H42" s="44">
        <f t="shared" si="6"/>
        <v>10654.548045689999</v>
      </c>
    </row>
    <row r="43" spans="1:8" ht="15">
      <c r="A43" s="43" t="str">
        <f>HLOOKUP(INDICE!$F$2,Nombres!$C$3:$D$636,64,FALSE)</f>
        <v>Economic capital allocated</v>
      </c>
      <c r="B43" s="44">
        <v>2576.2894899999997</v>
      </c>
      <c r="C43" s="44">
        <v>2323.27034</v>
      </c>
      <c r="D43" s="44">
        <v>2059.0527925300003</v>
      </c>
      <c r="E43" s="45">
        <v>2528.769018059999</v>
      </c>
      <c r="F43" s="44">
        <v>2722.6704699999996</v>
      </c>
      <c r="G43" s="44">
        <v>2600.60385</v>
      </c>
      <c r="H43" s="44">
        <v>2586.06295431</v>
      </c>
    </row>
    <row r="44" spans="1:8" ht="15">
      <c r="A44" s="65"/>
      <c r="B44" s="60"/>
      <c r="C44" s="60"/>
      <c r="D44" s="60"/>
      <c r="E44" s="60"/>
      <c r="F44" s="81"/>
      <c r="G44" s="81"/>
      <c r="H44" s="81"/>
    </row>
    <row r="45" spans="1:8" ht="15">
      <c r="A45" s="43"/>
      <c r="B45" s="60"/>
      <c r="C45" s="60"/>
      <c r="D45" s="60"/>
      <c r="E45" s="60"/>
      <c r="F45" s="81"/>
      <c r="G45" s="81"/>
      <c r="H45" s="81"/>
    </row>
    <row r="46" spans="1:8" ht="18">
      <c r="A46" s="33" t="str">
        <f>HLOOKUP(INDICE!$F$2,Nombres!$C$3:$D$636,65,FALSE)</f>
        <v>Relevant business indicators</v>
      </c>
      <c r="B46" s="34"/>
      <c r="C46" s="34"/>
      <c r="D46" s="34"/>
      <c r="E46" s="34"/>
      <c r="F46" s="85"/>
      <c r="G46" s="85"/>
      <c r="H46" s="85"/>
    </row>
    <row r="47" spans="1:8" ht="15">
      <c r="A47" s="35" t="str">
        <f>HLOOKUP(INDICE!$F$2,Nombres!$C$3:$D$636,32,FALSE)</f>
        <v>(Million euros)</v>
      </c>
      <c r="B47" s="30"/>
      <c r="C47" s="30"/>
      <c r="D47" s="30"/>
      <c r="E47" s="30"/>
      <c r="F47" s="83"/>
      <c r="G47" s="81"/>
      <c r="H47" s="81"/>
    </row>
    <row r="48" spans="1:8" ht="15.75">
      <c r="A48" s="30"/>
      <c r="B48" s="55">
        <f aca="true" t="shared" si="7" ref="B48:H48">+B$30</f>
        <v>43190</v>
      </c>
      <c r="C48" s="55">
        <f t="shared" si="7"/>
        <v>43281</v>
      </c>
      <c r="D48" s="55">
        <f t="shared" si="7"/>
        <v>43373</v>
      </c>
      <c r="E48" s="71">
        <f t="shared" si="7"/>
        <v>43465</v>
      </c>
      <c r="F48" s="80">
        <f t="shared" si="7"/>
        <v>43555</v>
      </c>
      <c r="G48" s="80">
        <f t="shared" si="7"/>
        <v>43646</v>
      </c>
      <c r="H48" s="80">
        <f t="shared" si="7"/>
        <v>43738</v>
      </c>
    </row>
    <row r="49" spans="1:8" ht="15">
      <c r="A49" s="43" t="str">
        <f>HLOOKUP(INDICE!$F$2,Nombres!$C$3:$D$636,66,FALSE)</f>
        <v>Loans and advances to customers (gross) (*)</v>
      </c>
      <c r="B49" s="44">
        <v>51732.188</v>
      </c>
      <c r="C49" s="44">
        <v>50597.387</v>
      </c>
      <c r="D49" s="44">
        <v>42887.957</v>
      </c>
      <c r="E49" s="45">
        <v>43718.605</v>
      </c>
      <c r="F49" s="44">
        <v>44375.77099999999</v>
      </c>
      <c r="G49" s="44">
        <v>41634.19299999999</v>
      </c>
      <c r="H49" s="44">
        <v>43500.257000000005</v>
      </c>
    </row>
    <row r="50" spans="1:8" ht="15">
      <c r="A50" s="43" t="str">
        <f>HLOOKUP(INDICE!$F$2,Nombres!$C$3:$D$636,67,FALSE)</f>
        <v>Customer deposits under management (*)</v>
      </c>
      <c r="B50" s="44">
        <v>43143.437</v>
      </c>
      <c r="C50" s="44">
        <v>42299.251</v>
      </c>
      <c r="D50" s="44">
        <v>38836.124</v>
      </c>
      <c r="E50" s="45">
        <v>39897.11299999999</v>
      </c>
      <c r="F50" s="44">
        <v>40539.997</v>
      </c>
      <c r="G50" s="44">
        <v>39452.07899999999</v>
      </c>
      <c r="H50" s="44">
        <v>41647.481999999996</v>
      </c>
    </row>
    <row r="51" spans="1:8" ht="15">
      <c r="A51" s="43" t="str">
        <f>HLOOKUP(INDICE!$F$2,Nombres!$C$3:$D$636,68,FALSE)</f>
        <v>Mutual funds</v>
      </c>
      <c r="B51" s="44">
        <v>1331.072</v>
      </c>
      <c r="C51" s="44">
        <v>1103.497</v>
      </c>
      <c r="D51" s="44">
        <v>646.621</v>
      </c>
      <c r="E51" s="45">
        <v>669.424</v>
      </c>
      <c r="F51" s="44">
        <v>757.36</v>
      </c>
      <c r="G51" s="44">
        <v>872.207</v>
      </c>
      <c r="H51" s="44">
        <v>1035.144</v>
      </c>
    </row>
    <row r="52" spans="1:8" ht="15">
      <c r="A52" s="43" t="str">
        <f>HLOOKUP(INDICE!$F$2,Nombres!$C$3:$D$636,69,FALSE)</f>
        <v>Pension funds</v>
      </c>
      <c r="B52" s="44">
        <v>2529.726</v>
      </c>
      <c r="C52" s="44">
        <v>2336.161</v>
      </c>
      <c r="D52" s="44">
        <v>1936.775</v>
      </c>
      <c r="E52" s="45">
        <v>2224.599</v>
      </c>
      <c r="F52" s="44">
        <v>2612.445</v>
      </c>
      <c r="G52" s="44">
        <v>2110.758</v>
      </c>
      <c r="H52" s="44">
        <v>2425.286</v>
      </c>
    </row>
    <row r="53" spans="1:8" ht="15">
      <c r="A53" s="43" t="str">
        <f>HLOOKUP(INDICE!$F$2,Nombres!$C$3:$D$636,70,FALSE)</f>
        <v>Other off balance-sheet funds</v>
      </c>
      <c r="B53" s="44" t="s">
        <v>407</v>
      </c>
      <c r="C53" s="44" t="s">
        <v>407</v>
      </c>
      <c r="D53" s="44" t="s">
        <v>407</v>
      </c>
      <c r="E53" s="45" t="s">
        <v>407</v>
      </c>
      <c r="F53" s="44" t="s">
        <v>407</v>
      </c>
      <c r="G53" s="44" t="s">
        <v>407</v>
      </c>
      <c r="H53" s="44" t="s">
        <v>407</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556.8260162786689</v>
      </c>
      <c r="C62" s="41">
        <v>623.3833166447383</v>
      </c>
      <c r="D62" s="41">
        <v>733.7740935493991</v>
      </c>
      <c r="E62" s="42">
        <v>907.1761589668288</v>
      </c>
      <c r="F62" s="52">
        <v>669.5713662807541</v>
      </c>
      <c r="G62" s="52">
        <v>687.4346086479513</v>
      </c>
      <c r="H62" s="52">
        <v>672.3100250712943</v>
      </c>
    </row>
    <row r="63" spans="1:8" ht="15">
      <c r="A63" s="43" t="str">
        <f>HLOOKUP(INDICE!$F$2,Nombres!$C$3:$D$636,34,FALSE)</f>
        <v>Net fees and commissions</v>
      </c>
      <c r="B63" s="44">
        <v>148.6150079435896</v>
      </c>
      <c r="C63" s="44">
        <v>141.4654872351736</v>
      </c>
      <c r="D63" s="44">
        <v>157.38304937420887</v>
      </c>
      <c r="E63" s="45">
        <v>169.6698395606134</v>
      </c>
      <c r="F63" s="44">
        <v>187.0070199053534</v>
      </c>
      <c r="G63" s="44">
        <v>174.14479196671823</v>
      </c>
      <c r="H63" s="44">
        <v>186.05018811792837</v>
      </c>
    </row>
    <row r="64" spans="1:8" ht="15">
      <c r="A64" s="43" t="str">
        <f>HLOOKUP(INDICE!$F$2,Nombres!$C$3:$D$636,35,FALSE)</f>
        <v>Net trading income</v>
      </c>
      <c r="B64" s="44">
        <v>14.61909443083254</v>
      </c>
      <c r="C64" s="44">
        <v>-11.439900950706798</v>
      </c>
      <c r="D64" s="44">
        <v>24.067800536634024</v>
      </c>
      <c r="E64" s="45">
        <v>-17.392428617094776</v>
      </c>
      <c r="F64" s="44">
        <v>-10.592412813792732</v>
      </c>
      <c r="G64" s="44">
        <v>-55.063166151726264</v>
      </c>
      <c r="H64" s="44">
        <v>0.24157897551899055</v>
      </c>
    </row>
    <row r="65" spans="1:8" ht="15">
      <c r="A65" s="43" t="str">
        <f>HLOOKUP(INDICE!$F$2,Nombres!$C$3:$D$636,36,FALSE)</f>
        <v>Other operating income and expenses</v>
      </c>
      <c r="B65" s="44">
        <v>16.99877497478858</v>
      </c>
      <c r="C65" s="44">
        <v>13.44315568686798</v>
      </c>
      <c r="D65" s="44">
        <v>13.467150444953798</v>
      </c>
      <c r="E65" s="45">
        <v>18.6642593773203</v>
      </c>
      <c r="F65" s="44">
        <v>5.641705470903553</v>
      </c>
      <c r="G65" s="44">
        <v>23.997264931705132</v>
      </c>
      <c r="H65" s="44">
        <v>6.970029597391308</v>
      </c>
    </row>
    <row r="66" spans="1:8" ht="15">
      <c r="A66" s="41" t="str">
        <f>HLOOKUP(INDICE!$F$2,Nombres!$C$3:$D$636,37,FALSE)</f>
        <v>Gross income</v>
      </c>
      <c r="B66" s="41">
        <f>+SUM(B62:B65)</f>
        <v>737.0588936278797</v>
      </c>
      <c r="C66" s="41">
        <f aca="true" t="shared" si="9" ref="C66:H66">+SUM(C62:C65)</f>
        <v>766.852058616073</v>
      </c>
      <c r="D66" s="41">
        <f t="shared" si="9"/>
        <v>928.6920939051957</v>
      </c>
      <c r="E66" s="42">
        <f t="shared" si="9"/>
        <v>1078.1178292876677</v>
      </c>
      <c r="F66" s="52">
        <f t="shared" si="9"/>
        <v>851.6276788432183</v>
      </c>
      <c r="G66" s="52">
        <f t="shared" si="9"/>
        <v>830.5134993946484</v>
      </c>
      <c r="H66" s="52">
        <f t="shared" si="9"/>
        <v>865.5718217621329</v>
      </c>
    </row>
    <row r="67" spans="1:8" ht="15">
      <c r="A67" s="43" t="str">
        <f>HLOOKUP(INDICE!$F$2,Nombres!$C$3:$D$636,38,FALSE)</f>
        <v>Operating expenses</v>
      </c>
      <c r="B67" s="44">
        <v>-262.8961084181651</v>
      </c>
      <c r="C67" s="44">
        <v>-267.8786324852375</v>
      </c>
      <c r="D67" s="44">
        <v>-265.4377135549806</v>
      </c>
      <c r="E67" s="45">
        <v>-326.22768050106333</v>
      </c>
      <c r="F67" s="44">
        <v>-301.50172619830175</v>
      </c>
      <c r="G67" s="44">
        <v>-294.0137020102411</v>
      </c>
      <c r="H67" s="44">
        <v>-290.8455104514571</v>
      </c>
    </row>
    <row r="68" spans="1:8" ht="15">
      <c r="A68" s="43" t="str">
        <f>HLOOKUP(INDICE!$F$2,Nombres!$C$3:$D$636,39,FALSE)</f>
        <v>  Administration expenses</v>
      </c>
      <c r="B68" s="44">
        <v>-233.07056531597703</v>
      </c>
      <c r="C68" s="44">
        <v>-236.559191242157</v>
      </c>
      <c r="D68" s="44">
        <v>-235.16698315940803</v>
      </c>
      <c r="E68" s="45">
        <v>-293.1698053993829</v>
      </c>
      <c r="F68" s="44">
        <v>-258.9653274957036</v>
      </c>
      <c r="G68" s="44">
        <v>-250.41483954671097</v>
      </c>
      <c r="H68" s="44">
        <v>-244.59170661758537</v>
      </c>
    </row>
    <row r="69" spans="1:8" ht="15">
      <c r="A69" s="46" t="str">
        <f>HLOOKUP(INDICE!$F$2,Nombres!$C$3:$D$636,40,FALSE)</f>
        <v>  Personnel expenses</v>
      </c>
      <c r="B69" s="44">
        <v>-131.11404576426514</v>
      </c>
      <c r="C69" s="44">
        <v>-147.47085793957692</v>
      </c>
      <c r="D69" s="44">
        <v>-143.39574193123062</v>
      </c>
      <c r="E69" s="45">
        <v>-168.18770575713967</v>
      </c>
      <c r="F69" s="44">
        <v>-165.23234510542932</v>
      </c>
      <c r="G69" s="44">
        <v>-171.12612180571148</v>
      </c>
      <c r="H69" s="44">
        <v>-170.3491134488592</v>
      </c>
    </row>
    <row r="70" spans="1:8" ht="15">
      <c r="A70" s="46" t="str">
        <f>HLOOKUP(INDICE!$F$2,Nombres!$C$3:$D$636,41,FALSE)</f>
        <v>  General and administrative expenses</v>
      </c>
      <c r="B70" s="44">
        <v>-101.95651955171188</v>
      </c>
      <c r="C70" s="44">
        <v>-89.08833330258008</v>
      </c>
      <c r="D70" s="44">
        <v>-91.77124122817737</v>
      </c>
      <c r="E70" s="45">
        <v>-124.98209964224316</v>
      </c>
      <c r="F70" s="44">
        <v>-93.73298239027434</v>
      </c>
      <c r="G70" s="44">
        <v>-79.28871774099949</v>
      </c>
      <c r="H70" s="44">
        <v>-74.24259316872616</v>
      </c>
    </row>
    <row r="71" spans="1:8" ht="15">
      <c r="A71" s="43" t="str">
        <f>HLOOKUP(INDICE!$F$2,Nombres!$C$3:$D$636,42,FALSE)</f>
        <v>  Depreciation</v>
      </c>
      <c r="B71" s="44">
        <v>-29.825543102188085</v>
      </c>
      <c r="C71" s="44">
        <v>-31.319441243080544</v>
      </c>
      <c r="D71" s="44">
        <v>-30.27073039557255</v>
      </c>
      <c r="E71" s="45">
        <v>-33.05787510168046</v>
      </c>
      <c r="F71" s="44">
        <v>-42.53639870259812</v>
      </c>
      <c r="G71" s="44">
        <v>-43.59886246353017</v>
      </c>
      <c r="H71" s="44">
        <v>-46.253803833871714</v>
      </c>
    </row>
    <row r="72" spans="1:8" ht="15">
      <c r="A72" s="41" t="str">
        <f>HLOOKUP(INDICE!$F$2,Nombres!$C$3:$D$636,43,FALSE)</f>
        <v>Operating income</v>
      </c>
      <c r="B72" s="41">
        <f>+B66+B67</f>
        <v>474.16278520971457</v>
      </c>
      <c r="C72" s="41">
        <f aca="true" t="shared" si="10" ref="C72:H72">+C66+C67</f>
        <v>498.9734261308355</v>
      </c>
      <c r="D72" s="41">
        <f t="shared" si="10"/>
        <v>663.2543803502151</v>
      </c>
      <c r="E72" s="42">
        <f t="shared" si="10"/>
        <v>751.8901487866044</v>
      </c>
      <c r="F72" s="52">
        <f t="shared" si="10"/>
        <v>550.1259526449165</v>
      </c>
      <c r="G72" s="52">
        <f t="shared" si="10"/>
        <v>536.4997973844073</v>
      </c>
      <c r="H72" s="52">
        <f t="shared" si="10"/>
        <v>574.7263113106758</v>
      </c>
    </row>
    <row r="73" spans="1:8" ht="15">
      <c r="A73" s="43" t="str">
        <f>HLOOKUP(INDICE!$F$2,Nombres!$C$3:$D$636,44,FALSE)</f>
        <v>Impaiment on financial assets not measured at fair value through profit or loss</v>
      </c>
      <c r="B73" s="44">
        <v>-111.3423113146883</v>
      </c>
      <c r="C73" s="44">
        <v>-135.1696182359112</v>
      </c>
      <c r="D73" s="44">
        <v>-307.337086491436</v>
      </c>
      <c r="E73" s="45">
        <v>-527.5553791523588</v>
      </c>
      <c r="F73" s="44">
        <v>-194.24047224233394</v>
      </c>
      <c r="G73" s="44">
        <v>-143.6057758594393</v>
      </c>
      <c r="H73" s="44">
        <v>-306.6815231382268</v>
      </c>
    </row>
    <row r="74" spans="1:8" ht="15">
      <c r="A74" s="43" t="str">
        <f>HLOOKUP(INDICE!$F$2,Nombres!$C$3:$D$636,45,FALSE)</f>
        <v>Provisions or reversal of provisions and other results</v>
      </c>
      <c r="B74" s="44">
        <v>21.28249584059311</v>
      </c>
      <c r="C74" s="44">
        <v>5.619093707984281</v>
      </c>
      <c r="D74" s="44">
        <v>-11.819378225932965</v>
      </c>
      <c r="E74" s="45">
        <v>-22.19819750404271</v>
      </c>
      <c r="F74" s="44">
        <v>-1.2123787861045128</v>
      </c>
      <c r="G74" s="44">
        <v>-20.050426241614357</v>
      </c>
      <c r="H74" s="44">
        <v>-13.155194972281125</v>
      </c>
    </row>
    <row r="75" spans="1:8" ht="15">
      <c r="A75" s="41" t="str">
        <f>HLOOKUP(INDICE!$F$2,Nombres!$C$3:$D$636,46,FALSE)</f>
        <v>Profit/(loss) before tax</v>
      </c>
      <c r="B75" s="41">
        <f>+B72+B73+B74</f>
        <v>384.1029697356194</v>
      </c>
      <c r="C75" s="41">
        <f aca="true" t="shared" si="11" ref="C75:H75">+C72+C73+C74</f>
        <v>369.42290160290855</v>
      </c>
      <c r="D75" s="41">
        <f t="shared" si="11"/>
        <v>344.09791563284614</v>
      </c>
      <c r="E75" s="42">
        <f t="shared" si="11"/>
        <v>202.13657213020292</v>
      </c>
      <c r="F75" s="52">
        <f t="shared" si="11"/>
        <v>354.6731016164781</v>
      </c>
      <c r="G75" s="52">
        <f t="shared" si="11"/>
        <v>372.8435952833537</v>
      </c>
      <c r="H75" s="52">
        <f t="shared" si="11"/>
        <v>254.88959320016787</v>
      </c>
    </row>
    <row r="76" spans="1:8" ht="15">
      <c r="A76" s="43" t="str">
        <f>HLOOKUP(INDICE!$F$2,Nombres!$C$3:$D$636,47,FALSE)</f>
        <v>Income tax</v>
      </c>
      <c r="B76" s="44">
        <v>-83.82801088953954</v>
      </c>
      <c r="C76" s="44">
        <v>-80.19022064598259</v>
      </c>
      <c r="D76" s="44">
        <v>-76.83240809548894</v>
      </c>
      <c r="E76" s="45">
        <v>-22.736475513449157</v>
      </c>
      <c r="F76" s="44">
        <v>-76.49259668255465</v>
      </c>
      <c r="G76" s="44">
        <v>-76.68078798419099</v>
      </c>
      <c r="H76" s="44">
        <v>-56.27873375325437</v>
      </c>
    </row>
    <row r="77" spans="1:8" ht="15">
      <c r="A77" s="41" t="str">
        <f>HLOOKUP(INDICE!$F$2,Nombres!$C$3:$D$636,48,FALSE)</f>
        <v>Profit/(loss) for the year</v>
      </c>
      <c r="B77" s="41">
        <f>+B75+B76</f>
        <v>300.27495884607987</v>
      </c>
      <c r="C77" s="41">
        <f aca="true" t="shared" si="12" ref="C77:H77">+C75+C76</f>
        <v>289.23268095692595</v>
      </c>
      <c r="D77" s="41">
        <f t="shared" si="12"/>
        <v>267.26550753735717</v>
      </c>
      <c r="E77" s="42">
        <f t="shared" si="12"/>
        <v>179.40009661675376</v>
      </c>
      <c r="F77" s="52">
        <f t="shared" si="12"/>
        <v>278.18050493392343</v>
      </c>
      <c r="G77" s="52">
        <f t="shared" si="12"/>
        <v>296.1628072991627</v>
      </c>
      <c r="H77" s="52">
        <f t="shared" si="12"/>
        <v>198.61085944691348</v>
      </c>
    </row>
    <row r="78" spans="1:8" ht="15">
      <c r="A78" s="43" t="str">
        <f>HLOOKUP(INDICE!$F$2,Nombres!$C$3:$D$636,49,FALSE)</f>
        <v>Non-controlling interests</v>
      </c>
      <c r="B78" s="44">
        <v>-152.27070618331425</v>
      </c>
      <c r="C78" s="44">
        <v>-146.77125300965514</v>
      </c>
      <c r="D78" s="44">
        <v>-136.0874371974889</v>
      </c>
      <c r="E78" s="45">
        <v>-91.1889927014933</v>
      </c>
      <c r="F78" s="44">
        <v>-141.64304351873545</v>
      </c>
      <c r="G78" s="44">
        <v>-150.25223047183243</v>
      </c>
      <c r="H78" s="44">
        <v>-101.4707260294321</v>
      </c>
    </row>
    <row r="79" spans="1:8" ht="15">
      <c r="A79" s="47" t="str">
        <f>HLOOKUP(INDICE!$F$2,Nombres!$C$3:$D$636,50,FALSE)</f>
        <v>Net attributable profit</v>
      </c>
      <c r="B79" s="47">
        <f>+B77+B78</f>
        <v>148.00425266276562</v>
      </c>
      <c r="C79" s="47">
        <f aca="true" t="shared" si="13" ref="C79:H79">+C77+C78</f>
        <v>142.4614279472708</v>
      </c>
      <c r="D79" s="47">
        <f t="shared" si="13"/>
        <v>131.17807033986827</v>
      </c>
      <c r="E79" s="47">
        <f t="shared" si="13"/>
        <v>88.21110391526045</v>
      </c>
      <c r="F79" s="53">
        <f t="shared" si="13"/>
        <v>136.53746141518798</v>
      </c>
      <c r="G79" s="53">
        <f t="shared" si="13"/>
        <v>145.91057682733026</v>
      </c>
      <c r="H79" s="53">
        <f t="shared" si="13"/>
        <v>97.14013341748138</v>
      </c>
    </row>
    <row r="80" spans="1:8" ht="15">
      <c r="A80" s="65"/>
      <c r="B80" s="66">
        <v>0</v>
      </c>
      <c r="C80" s="66">
        <v>0</v>
      </c>
      <c r="D80" s="66">
        <v>-2.2737367544323206E-13</v>
      </c>
      <c r="E80" s="66">
        <v>0</v>
      </c>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2343.309221582034</v>
      </c>
      <c r="C85" s="44">
        <v>3620.8702471388897</v>
      </c>
      <c r="D85" s="44">
        <v>8640.5564198795</v>
      </c>
      <c r="E85" s="45">
        <v>7737.836524197696</v>
      </c>
      <c r="F85" s="44">
        <v>7399.249555109422</v>
      </c>
      <c r="G85" s="44">
        <v>8207.848758112981</v>
      </c>
      <c r="H85" s="44">
        <v>7038.539000000001</v>
      </c>
    </row>
    <row r="86" spans="1:8" ht="15">
      <c r="A86" s="43" t="str">
        <f>HLOOKUP(INDICE!$F$2,Nombres!$C$3:$D$636,53,FALSE)</f>
        <v>Financial assets designated at fair value </v>
      </c>
      <c r="B86" s="60">
        <v>4773.605228365386</v>
      </c>
      <c r="C86" s="60">
        <v>5110.156207523716</v>
      </c>
      <c r="D86" s="60">
        <v>6281.228778684102</v>
      </c>
      <c r="E86" s="68">
        <v>5425.464357761538</v>
      </c>
      <c r="F86" s="44">
        <v>5776.29858452396</v>
      </c>
      <c r="G86" s="44">
        <v>5612.75242864949</v>
      </c>
      <c r="H86" s="44">
        <v>5598.2880000000005</v>
      </c>
    </row>
    <row r="87" spans="1:8" ht="15">
      <c r="A87" s="43" t="str">
        <f>HLOOKUP(INDICE!$F$2,Nombres!$C$3:$D$636,54,FALSE)</f>
        <v>Financial assets at amortized cost</v>
      </c>
      <c r="B87" s="44">
        <v>49716.186599505796</v>
      </c>
      <c r="C87" s="44">
        <v>51954.777987206064</v>
      </c>
      <c r="D87" s="44">
        <v>57023.54078492771</v>
      </c>
      <c r="E87" s="45">
        <v>49575.75218782239</v>
      </c>
      <c r="F87" s="44">
        <v>53298.06658559602</v>
      </c>
      <c r="G87" s="44">
        <v>52445.136270198906</v>
      </c>
      <c r="H87" s="44">
        <v>51878.47099999999</v>
      </c>
    </row>
    <row r="88" spans="1:8" ht="15">
      <c r="A88" s="43" t="str">
        <f>HLOOKUP(INDICE!$F$2,Nombres!$C$3:$D$636,55,FALSE)</f>
        <v>    of which loans and advances to customers</v>
      </c>
      <c r="B88" s="44">
        <v>39625.64385122955</v>
      </c>
      <c r="C88" s="44">
        <v>42132.03528910716</v>
      </c>
      <c r="D88" s="44">
        <v>46250.838467461006</v>
      </c>
      <c r="E88" s="45">
        <v>40868.755864004044</v>
      </c>
      <c r="F88" s="44">
        <v>43361.15449892226</v>
      </c>
      <c r="G88" s="44">
        <v>41946.430800127506</v>
      </c>
      <c r="H88" s="44">
        <v>40775.634000000005</v>
      </c>
    </row>
    <row r="89" spans="1:8" ht="15">
      <c r="A89" s="43" t="str">
        <f>HLOOKUP(INDICE!$F$2,Nombres!$C$3:$D$636,56,FALSE)</f>
        <v>Tangible assets</v>
      </c>
      <c r="B89" s="44">
        <v>996.9140370083591</v>
      </c>
      <c r="C89" s="44">
        <v>1018.9641575413339</v>
      </c>
      <c r="D89" s="44">
        <v>1046.818415642445</v>
      </c>
      <c r="E89" s="45">
        <v>1043.8388719016798</v>
      </c>
      <c r="F89" s="44">
        <v>1200.8969650550516</v>
      </c>
      <c r="G89" s="44">
        <v>1204.9338386108277</v>
      </c>
      <c r="H89" s="44">
        <v>1184.0720000000001</v>
      </c>
    </row>
    <row r="90" spans="1:8" ht="15">
      <c r="A90" s="43" t="str">
        <f>HLOOKUP(INDICE!$F$2,Nombres!$C$3:$D$636,57,FALSE)</f>
        <v>Other assets</v>
      </c>
      <c r="B90" s="60">
        <f>+B91-B89-B87-B86-B85</f>
        <v>1418.859083345837</v>
      </c>
      <c r="C90" s="60">
        <f aca="true" t="shared" si="15" ref="C90:H90">+C91-C89-C87-C86-C85</f>
        <v>1514.092286835934</v>
      </c>
      <c r="D90" s="60">
        <f t="shared" si="15"/>
        <v>1804.612685124397</v>
      </c>
      <c r="E90" s="68">
        <f t="shared" si="15"/>
        <v>1494.2849612637228</v>
      </c>
      <c r="F90" s="44">
        <f t="shared" si="15"/>
        <v>1590.0233519420035</v>
      </c>
      <c r="G90" s="44">
        <f t="shared" si="15"/>
        <v>1547.4009360016917</v>
      </c>
      <c r="H90" s="44">
        <f t="shared" si="15"/>
        <v>1456.5460000000057</v>
      </c>
    </row>
    <row r="91" spans="1:8" ht="15">
      <c r="A91" s="47" t="str">
        <f>HLOOKUP(INDICE!$F$2,Nombres!$C$3:$D$636,58,FALSE)</f>
        <v>Total assets / Liabilities and equity</v>
      </c>
      <c r="B91" s="47">
        <v>59248.874169807415</v>
      </c>
      <c r="C91" s="47">
        <v>63218.86088624594</v>
      </c>
      <c r="D91" s="47">
        <v>74796.75708425815</v>
      </c>
      <c r="E91" s="47">
        <v>65277.17690294703</v>
      </c>
      <c r="F91" s="47">
        <v>69264.53504222646</v>
      </c>
      <c r="G91" s="47">
        <v>69018.0722315739</v>
      </c>
      <c r="H91" s="47">
        <v>67155.916</v>
      </c>
    </row>
    <row r="92" spans="1:8" ht="15">
      <c r="A92" s="43" t="str">
        <f>HLOOKUP(INDICE!$F$2,Nombres!$C$3:$D$636,59,FALSE)</f>
        <v>Financial liabilities held for trading and designated at fair value through profit or loss</v>
      </c>
      <c r="B92" s="60">
        <v>1276.2099947010356</v>
      </c>
      <c r="C92" s="60">
        <v>1760.1908743177548</v>
      </c>
      <c r="D92" s="60">
        <v>2901.7869323040386</v>
      </c>
      <c r="E92" s="68">
        <v>1824.4495820059128</v>
      </c>
      <c r="F92" s="44">
        <v>1848.811549304909</v>
      </c>
      <c r="G92" s="44">
        <v>2429.528622238003</v>
      </c>
      <c r="H92" s="44">
        <v>2490.1990000000005</v>
      </c>
    </row>
    <row r="93" spans="1:8" ht="15">
      <c r="A93" s="43" t="str">
        <f>HLOOKUP(INDICE!$F$2,Nombres!$C$3:$D$636,60,FALSE)</f>
        <v>Deposits from central banks and credit institutions</v>
      </c>
      <c r="B93" s="60">
        <v>7185.125980032217</v>
      </c>
      <c r="C93" s="60">
        <v>8253.036073736916</v>
      </c>
      <c r="D93" s="60">
        <v>9671.96803747958</v>
      </c>
      <c r="E93" s="68">
        <v>6635.370363402807</v>
      </c>
      <c r="F93" s="44">
        <v>7171.067441531206</v>
      </c>
      <c r="G93" s="44">
        <v>5828.922458409996</v>
      </c>
      <c r="H93" s="44">
        <v>4938.094999999999</v>
      </c>
    </row>
    <row r="94" spans="1:8" ht="15">
      <c r="A94" s="43" t="str">
        <f>HLOOKUP(INDICE!$F$2,Nombres!$C$3:$D$636,61,FALSE)</f>
        <v>Deposits from customers</v>
      </c>
      <c r="B94" s="60">
        <v>34444.39265407757</v>
      </c>
      <c r="C94" s="60">
        <v>36731.3777514305</v>
      </c>
      <c r="D94" s="60">
        <v>43995.03947998344</v>
      </c>
      <c r="E94" s="68">
        <v>39318.65077920663</v>
      </c>
      <c r="F94" s="44">
        <v>41833.31216843072</v>
      </c>
      <c r="G94" s="44">
        <v>42127.53699615624</v>
      </c>
      <c r="H94" s="44">
        <v>41650.666</v>
      </c>
    </row>
    <row r="95" spans="1:8" ht="15">
      <c r="A95" s="43" t="str">
        <f>HLOOKUP(INDICE!$F$2,Nombres!$C$3:$D$636,62,FALSE)</f>
        <v>Debt certificates</v>
      </c>
      <c r="B95" s="44">
        <v>5528.459211127911</v>
      </c>
      <c r="C95" s="44">
        <v>5722.54768709395</v>
      </c>
      <c r="D95" s="44">
        <v>6499.076055106052</v>
      </c>
      <c r="E95" s="45">
        <v>5876.6267718748495</v>
      </c>
      <c r="F95" s="44">
        <v>6536.719906995977</v>
      </c>
      <c r="G95" s="44">
        <v>6191.620661805705</v>
      </c>
      <c r="H95" s="44">
        <v>4836.344999999999</v>
      </c>
    </row>
    <row r="96" spans="1:8" ht="15">
      <c r="A96" s="43" t="str">
        <f>HLOOKUP(INDICE!$F$2,Nombres!$C$3:$D$636,63,FALSE)</f>
        <v>Other liabilities</v>
      </c>
      <c r="B96" s="60">
        <f>+B91-B92-B93-B94-B95-B97</f>
        <v>8762.74162920444</v>
      </c>
      <c r="C96" s="60">
        <f aca="true" t="shared" si="16" ref="C96:H96">+C91-C92-C93-C94-C95-C97</f>
        <v>8734.706347697118</v>
      </c>
      <c r="D96" s="60">
        <f t="shared" si="16"/>
        <v>9396.62584323807</v>
      </c>
      <c r="E96" s="68">
        <f t="shared" si="16"/>
        <v>9130.44276562724</v>
      </c>
      <c r="F96" s="44">
        <f t="shared" si="16"/>
        <v>9065.390907057816</v>
      </c>
      <c r="G96" s="44">
        <f t="shared" si="16"/>
        <v>9663.753961946528</v>
      </c>
      <c r="H96" s="44">
        <f t="shared" si="16"/>
        <v>10654.548045689999</v>
      </c>
    </row>
    <row r="97" spans="1:8" ht="15">
      <c r="A97" s="43" t="str">
        <f>HLOOKUP(INDICE!$F$2,Nombres!$C$3:$D$636,64,FALSE)</f>
        <v>Economic capital allocated</v>
      </c>
      <c r="B97" s="44">
        <v>2051.9447006642426</v>
      </c>
      <c r="C97" s="44">
        <v>2017.0021519697057</v>
      </c>
      <c r="D97" s="44">
        <v>2332.2607361469727</v>
      </c>
      <c r="E97" s="45">
        <v>2491.636640829593</v>
      </c>
      <c r="F97" s="44">
        <v>2809.2330689058276</v>
      </c>
      <c r="G97" s="44">
        <v>2776.7095310174236</v>
      </c>
      <c r="H97" s="44">
        <v>2586.06295431</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41203.28458133264</v>
      </c>
      <c r="C103" s="44">
        <v>43927.319479765756</v>
      </c>
      <c r="D103" s="44">
        <v>48578.59814354534</v>
      </c>
      <c r="E103" s="45">
        <v>43076.64216304128</v>
      </c>
      <c r="F103" s="44">
        <v>45786.621893832154</v>
      </c>
      <c r="G103" s="44">
        <v>44453.54509465904</v>
      </c>
      <c r="H103" s="44">
        <v>43500.257000000005</v>
      </c>
    </row>
    <row r="104" spans="1:8" ht="15">
      <c r="A104" s="43" t="str">
        <f>HLOOKUP(INDICE!$F$2,Nombres!$C$3:$D$636,67,FALSE)</f>
        <v>Customer deposits under management (*)</v>
      </c>
      <c r="B104" s="44">
        <v>34362.57736726303</v>
      </c>
      <c r="C104" s="44">
        <v>36723.096242732885</v>
      </c>
      <c r="D104" s="44">
        <v>43989.1427154923</v>
      </c>
      <c r="E104" s="45">
        <v>39311.26485027193</v>
      </c>
      <c r="F104" s="44">
        <v>41828.89609323271</v>
      </c>
      <c r="G104" s="44">
        <v>42123.66438577423</v>
      </c>
      <c r="H104" s="44">
        <v>41647.481999999996</v>
      </c>
    </row>
    <row r="105" spans="1:8" ht="15">
      <c r="A105" s="43" t="str">
        <f>HLOOKUP(INDICE!$F$2,Nombres!$C$3:$D$636,68,FALSE)</f>
        <v>Mutual funds</v>
      </c>
      <c r="B105" s="44">
        <v>1060.162744600008</v>
      </c>
      <c r="C105" s="44">
        <v>958.0270472062734</v>
      </c>
      <c r="D105" s="44">
        <v>732.4186999669262</v>
      </c>
      <c r="E105" s="45">
        <v>659.5941957286092</v>
      </c>
      <c r="F105" s="44">
        <v>781.4389513933789</v>
      </c>
      <c r="G105" s="44">
        <v>931.2704393328165</v>
      </c>
      <c r="H105" s="44">
        <v>1035.144</v>
      </c>
    </row>
    <row r="106" spans="1:8" ht="15">
      <c r="A106" s="43" t="str">
        <f>HLOOKUP(INDICE!$F$2,Nombres!$C$3:$D$636,69,FALSE)</f>
        <v>Pension funds</v>
      </c>
      <c r="B106" s="44">
        <v>2014.8581438464637</v>
      </c>
      <c r="C106" s="44">
        <v>2028.1934836510247</v>
      </c>
      <c r="D106" s="44">
        <v>2193.7583648357286</v>
      </c>
      <c r="E106" s="45">
        <v>2191.933047252068</v>
      </c>
      <c r="F106" s="44">
        <v>2695.5031707152157</v>
      </c>
      <c r="G106" s="44">
        <v>2253.692678441307</v>
      </c>
      <c r="H106" s="44">
        <v>2425.286</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HLOOKUP(INDICE!$F$2,Nombres!$C$3:$D$636,77,FALSE)</f>
        <v>(Million Turkish liras)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3530.334296279968</v>
      </c>
      <c r="C116" s="41">
        <v>3952.3144360020133</v>
      </c>
      <c r="D116" s="41">
        <v>4652.203331826302</v>
      </c>
      <c r="E116" s="42">
        <v>5751.590286983528</v>
      </c>
      <c r="F116" s="52">
        <v>4245.15142806293</v>
      </c>
      <c r="G116" s="52">
        <v>4358.406224584718</v>
      </c>
      <c r="H116" s="52">
        <v>4262.514806876778</v>
      </c>
    </row>
    <row r="117" spans="1:8" ht="15">
      <c r="A117" s="43" t="str">
        <f>HLOOKUP(INDICE!$F$2,Nombres!$C$3:$D$636,34,FALSE)</f>
        <v>Net fees and commissions</v>
      </c>
      <c r="B117" s="44">
        <v>942.2344577064496</v>
      </c>
      <c r="C117" s="44">
        <v>896.9057600145424</v>
      </c>
      <c r="D117" s="44">
        <v>997.8247434847412</v>
      </c>
      <c r="E117" s="45">
        <v>1075.724258805793</v>
      </c>
      <c r="F117" s="44">
        <v>1185.6437679208182</v>
      </c>
      <c r="G117" s="44">
        <v>1104.0959179805434</v>
      </c>
      <c r="H117" s="44">
        <v>1179.57735583488</v>
      </c>
    </row>
    <row r="118" spans="1:8" ht="15">
      <c r="A118" s="43" t="str">
        <f>HLOOKUP(INDICE!$F$2,Nombres!$C$3:$D$636,35,FALSE)</f>
        <v>Net trading income</v>
      </c>
      <c r="B118" s="44">
        <v>92.68656445803478</v>
      </c>
      <c r="C118" s="44">
        <v>-72.53015033714601</v>
      </c>
      <c r="D118" s="44">
        <v>152.59233438543507</v>
      </c>
      <c r="E118" s="45">
        <v>-110.26978885232577</v>
      </c>
      <c r="F118" s="44">
        <v>-67.15698825784277</v>
      </c>
      <c r="G118" s="44">
        <v>-349.1061449074186</v>
      </c>
      <c r="H118" s="44">
        <v>1.5316355874222118</v>
      </c>
    </row>
    <row r="119" spans="1:8" ht="15">
      <c r="A119" s="43" t="str">
        <f>HLOOKUP(INDICE!$F$2,Nombres!$C$3:$D$636,36,FALSE)</f>
        <v>Other operating income and expenses</v>
      </c>
      <c r="B119" s="44">
        <v>107.77398421378459</v>
      </c>
      <c r="C119" s="44">
        <v>85.23099169962266</v>
      </c>
      <c r="D119" s="44">
        <v>85.38312093734633</v>
      </c>
      <c r="E119" s="45">
        <v>118.33332687070978</v>
      </c>
      <c r="F119" s="44">
        <v>35.768993781126504</v>
      </c>
      <c r="G119" s="44">
        <v>152.1451313850198</v>
      </c>
      <c r="H119" s="44">
        <v>44.19070556042833</v>
      </c>
    </row>
    <row r="120" spans="1:8" ht="15">
      <c r="A120" s="41" t="str">
        <f>HLOOKUP(INDICE!$F$2,Nombres!$C$3:$D$636,37,FALSE)</f>
        <v>Gross income</v>
      </c>
      <c r="B120" s="41">
        <f>+SUM(B116:B119)</f>
        <v>4673.029302658237</v>
      </c>
      <c r="C120" s="41">
        <f aca="true" t="shared" si="19" ref="C120:H120">+SUM(C116:C119)</f>
        <v>4861.921037379033</v>
      </c>
      <c r="D120" s="41">
        <f t="shared" si="19"/>
        <v>5888.003530633825</v>
      </c>
      <c r="E120" s="42">
        <f t="shared" si="19"/>
        <v>6835.378083807705</v>
      </c>
      <c r="F120" s="52">
        <f t="shared" si="19"/>
        <v>5399.407201507032</v>
      </c>
      <c r="G120" s="52">
        <f t="shared" si="19"/>
        <v>5265.541129042862</v>
      </c>
      <c r="H120" s="52">
        <f t="shared" si="19"/>
        <v>5487.814503859508</v>
      </c>
    </row>
    <row r="121" spans="1:8" ht="15">
      <c r="A121" s="43" t="str">
        <f>HLOOKUP(INDICE!$F$2,Nombres!$C$3:$D$636,38,FALSE)</f>
        <v>Operating expenses</v>
      </c>
      <c r="B121" s="44">
        <v>-1666.7884056672797</v>
      </c>
      <c r="C121" s="44">
        <v>-1698.37812145244</v>
      </c>
      <c r="D121" s="44">
        <v>-1682.9024440199894</v>
      </c>
      <c r="E121" s="45">
        <v>-2068.3170958240426</v>
      </c>
      <c r="F121" s="44">
        <v>-1911.551998771529</v>
      </c>
      <c r="G121" s="44">
        <v>-1864.0771541528206</v>
      </c>
      <c r="H121" s="44">
        <v>-1843.9904933464354</v>
      </c>
    </row>
    <row r="122" spans="1:8" ht="15">
      <c r="A122" s="43" t="str">
        <f>HLOOKUP(INDICE!$F$2,Nombres!$C$3:$D$636,39,FALSE)</f>
        <v>  Administration expenses</v>
      </c>
      <c r="B122" s="44">
        <v>-1477.6913903688142</v>
      </c>
      <c r="C122" s="44">
        <v>-1499.8096380692245</v>
      </c>
      <c r="D122" s="44">
        <v>-1490.9828954271802</v>
      </c>
      <c r="E122" s="45">
        <v>-1858.726762718637</v>
      </c>
      <c r="F122" s="44">
        <v>-1641.8668497484846</v>
      </c>
      <c r="G122" s="44">
        <v>-1587.6558754517118</v>
      </c>
      <c r="H122" s="44">
        <v>-1550.7366128984313</v>
      </c>
    </row>
    <row r="123" spans="1:8" ht="15">
      <c r="A123" s="46" t="str">
        <f>HLOOKUP(INDICE!$F$2,Nombres!$C$3:$D$636,40,FALSE)</f>
        <v>  Personnel expenses</v>
      </c>
      <c r="B123" s="44">
        <v>-831.2765548906316</v>
      </c>
      <c r="C123" s="44">
        <v>-934.980428833572</v>
      </c>
      <c r="D123" s="44">
        <v>-909.1437736037551</v>
      </c>
      <c r="E123" s="45">
        <v>-1066.3273778320045</v>
      </c>
      <c r="F123" s="44">
        <v>-1047.590086898048</v>
      </c>
      <c r="G123" s="44">
        <v>-1084.9572382367692</v>
      </c>
      <c r="H123" s="44">
        <v>-1080.0309252224733</v>
      </c>
    </row>
    <row r="124" spans="1:8" ht="15">
      <c r="A124" s="46" t="str">
        <f>HLOOKUP(INDICE!$F$2,Nombres!$C$3:$D$636,41,FALSE)</f>
        <v>  General and administrative expenses</v>
      </c>
      <c r="B124" s="44">
        <v>-646.4148354781826</v>
      </c>
      <c r="C124" s="44">
        <v>-564.8292092356528</v>
      </c>
      <c r="D124" s="44">
        <v>-581.8391218234251</v>
      </c>
      <c r="E124" s="45">
        <v>-792.3993848866326</v>
      </c>
      <c r="F124" s="44">
        <v>-594.2767628504366</v>
      </c>
      <c r="G124" s="44">
        <v>-502.69863721494283</v>
      </c>
      <c r="H124" s="44">
        <v>-470.7056876759576</v>
      </c>
    </row>
    <row r="125" spans="1:8" ht="15">
      <c r="A125" s="43" t="str">
        <f>HLOOKUP(INDICE!$F$2,Nombres!$C$3:$D$636,42,FALSE)</f>
        <v>  Depreciation</v>
      </c>
      <c r="B125" s="44">
        <v>-189.09701529846546</v>
      </c>
      <c r="C125" s="44">
        <v>-198.56848338321484</v>
      </c>
      <c r="D125" s="44">
        <v>-191.91954859280906</v>
      </c>
      <c r="E125" s="45">
        <v>-209.59033310540553</v>
      </c>
      <c r="F125" s="44">
        <v>-269.68514902304435</v>
      </c>
      <c r="G125" s="44">
        <v>-276.4212787011085</v>
      </c>
      <c r="H125" s="44">
        <v>-293.25388044800417</v>
      </c>
    </row>
    <row r="126" spans="1:8" ht="15">
      <c r="A126" s="41" t="str">
        <f>HLOOKUP(INDICE!$F$2,Nombres!$C$3:$D$636,43,FALSE)</f>
        <v>Operating income</v>
      </c>
      <c r="B126" s="41">
        <f>+B120+B121</f>
        <v>3006.240896990957</v>
      </c>
      <c r="C126" s="41">
        <f aca="true" t="shared" si="20" ref="C126:H126">+C120+C121</f>
        <v>3163.542915926593</v>
      </c>
      <c r="D126" s="41">
        <f t="shared" si="20"/>
        <v>4205.101086613836</v>
      </c>
      <c r="E126" s="42">
        <f t="shared" si="20"/>
        <v>4767.060987983662</v>
      </c>
      <c r="F126" s="52">
        <f t="shared" si="20"/>
        <v>3487.8552027355036</v>
      </c>
      <c r="G126" s="52">
        <f t="shared" si="20"/>
        <v>3401.4639748900413</v>
      </c>
      <c r="H126" s="52">
        <f t="shared" si="20"/>
        <v>3643.824010513072</v>
      </c>
    </row>
    <row r="127" spans="1:8" ht="15">
      <c r="A127" s="43" t="str">
        <f>HLOOKUP(INDICE!$F$2,Nombres!$C$3:$D$636,44,FALSE)</f>
        <v>Impaiment on financial assets not measured at fair value through profit or loss</v>
      </c>
      <c r="B127" s="44">
        <v>-705.9217219918958</v>
      </c>
      <c r="C127" s="44">
        <v>-856.9893020847849</v>
      </c>
      <c r="D127" s="44">
        <v>-1948.548784072044</v>
      </c>
      <c r="E127" s="45">
        <v>-3344.7554420238794</v>
      </c>
      <c r="F127" s="44">
        <v>-1231.5046007827816</v>
      </c>
      <c r="G127" s="44">
        <v>-910.4754103420903</v>
      </c>
      <c r="H127" s="44">
        <v>-1944.392444889678</v>
      </c>
    </row>
    <row r="128" spans="1:8" ht="15">
      <c r="A128" s="43" t="str">
        <f>HLOOKUP(INDICE!$F$2,Nombres!$C$3:$D$636,45,FALSE)</f>
        <v>Provisions or reversal of provisions and other results</v>
      </c>
      <c r="B128" s="44">
        <v>134.93321572618467</v>
      </c>
      <c r="C128" s="44">
        <v>35.62563287520701</v>
      </c>
      <c r="D128" s="44">
        <v>-74.93607534823508</v>
      </c>
      <c r="E128" s="45">
        <v>-140.7388585897158</v>
      </c>
      <c r="F128" s="44">
        <v>-7.6866063789035195</v>
      </c>
      <c r="G128" s="44">
        <v>-127.121767565505</v>
      </c>
      <c r="H128" s="44">
        <v>-83.40529110919167</v>
      </c>
    </row>
    <row r="129" spans="1:8" ht="15">
      <c r="A129" s="41" t="str">
        <f>HLOOKUP(INDICE!$F$2,Nombres!$C$3:$D$636,46,FALSE)</f>
        <v>Profit/(loss) before tax</v>
      </c>
      <c r="B129" s="41">
        <f>+B126+B127+B128</f>
        <v>2435.2523907252457</v>
      </c>
      <c r="C129" s="41">
        <f aca="true" t="shared" si="21" ref="C129:H129">+C126+C127+C128</f>
        <v>2342.1792467170153</v>
      </c>
      <c r="D129" s="41">
        <f t="shared" si="21"/>
        <v>2181.6162271935564</v>
      </c>
      <c r="E129" s="42">
        <f t="shared" si="21"/>
        <v>1281.5666873700668</v>
      </c>
      <c r="F129" s="52">
        <f t="shared" si="21"/>
        <v>2248.6639955738187</v>
      </c>
      <c r="G129" s="52">
        <f t="shared" si="21"/>
        <v>2363.866796982446</v>
      </c>
      <c r="H129" s="52">
        <f t="shared" si="21"/>
        <v>1616.0262745142024</v>
      </c>
    </row>
    <row r="130" spans="1:8" ht="15">
      <c r="A130" s="43" t="str">
        <f>HLOOKUP(INDICE!$F$2,Nombres!$C$3:$D$636,47,FALSE)</f>
        <v>Income tax</v>
      </c>
      <c r="B130" s="44">
        <v>-531.4782233238285</v>
      </c>
      <c r="C130" s="44">
        <v>-508.4142584873247</v>
      </c>
      <c r="D130" s="44">
        <v>-487.12538106254107</v>
      </c>
      <c r="E130" s="45">
        <v>-144.15159661198157</v>
      </c>
      <c r="F130" s="44">
        <v>-484.9709417039662</v>
      </c>
      <c r="G130" s="44">
        <v>-486.16409394004233</v>
      </c>
      <c r="H130" s="44">
        <v>-356.81296870455526</v>
      </c>
    </row>
    <row r="131" spans="1:8" ht="15">
      <c r="A131" s="41" t="str">
        <f>HLOOKUP(INDICE!$F$2,Nombres!$C$3:$D$636,48,FALSE)</f>
        <v>Profit/(loss) for the year</v>
      </c>
      <c r="B131" s="41">
        <f>+B129+B130</f>
        <v>1903.7741674014173</v>
      </c>
      <c r="C131" s="41">
        <f aca="true" t="shared" si="22" ref="C131:H131">+C129+C130</f>
        <v>1833.7649882296905</v>
      </c>
      <c r="D131" s="41">
        <f t="shared" si="22"/>
        <v>1694.4908461310154</v>
      </c>
      <c r="E131" s="42">
        <f t="shared" si="22"/>
        <v>1137.4150907580852</v>
      </c>
      <c r="F131" s="52">
        <f t="shared" si="22"/>
        <v>1763.6930538698525</v>
      </c>
      <c r="G131" s="52">
        <f t="shared" si="22"/>
        <v>1877.7027030424038</v>
      </c>
      <c r="H131" s="52">
        <f t="shared" si="22"/>
        <v>1259.2133058096472</v>
      </c>
    </row>
    <row r="132" spans="1:8" ht="15">
      <c r="A132" s="43" t="str">
        <f>HLOOKUP(INDICE!$F$2,Nombres!$C$3:$D$636,49,FALSE)</f>
        <v>Non-controlling interests</v>
      </c>
      <c r="B132" s="44">
        <v>-965.4119610831802</v>
      </c>
      <c r="C132" s="44">
        <v>-930.5448615185684</v>
      </c>
      <c r="D132" s="44">
        <v>-862.8083688365301</v>
      </c>
      <c r="E132" s="45">
        <v>-578.147606192656</v>
      </c>
      <c r="F132" s="44">
        <v>-898.0314851406197</v>
      </c>
      <c r="G132" s="44">
        <v>-952.6146171694113</v>
      </c>
      <c r="H132" s="44">
        <v>-643.3348545102009</v>
      </c>
    </row>
    <row r="133" spans="1:8" ht="15">
      <c r="A133" s="47" t="str">
        <f>HLOOKUP(INDICE!$F$2,Nombres!$C$3:$D$636,50,FALSE)</f>
        <v>Net attributable profit</v>
      </c>
      <c r="B133" s="47">
        <f>+B131+B132</f>
        <v>938.3622063182371</v>
      </c>
      <c r="C133" s="47">
        <f aca="true" t="shared" si="23" ref="C133:H133">+C131+C132</f>
        <v>903.2201267111221</v>
      </c>
      <c r="D133" s="47">
        <f t="shared" si="23"/>
        <v>831.6824772944852</v>
      </c>
      <c r="E133" s="47">
        <f t="shared" si="23"/>
        <v>559.2674845654292</v>
      </c>
      <c r="F133" s="53">
        <f t="shared" si="23"/>
        <v>865.6615687292328</v>
      </c>
      <c r="G133" s="53">
        <f t="shared" si="23"/>
        <v>925.0880858729925</v>
      </c>
      <c r="H133" s="53">
        <f t="shared" si="23"/>
        <v>615.8784512994463</v>
      </c>
    </row>
    <row r="134" spans="1:8" ht="15">
      <c r="A134" s="65"/>
      <c r="B134" s="66">
        <v>0</v>
      </c>
      <c r="C134" s="66">
        <v>0</v>
      </c>
      <c r="D134" s="66">
        <v>0</v>
      </c>
      <c r="E134" s="66">
        <v>0</v>
      </c>
      <c r="F134" s="66">
        <v>9.094947017729282E-13</v>
      </c>
      <c r="G134" s="66">
        <v>0</v>
      </c>
      <c r="H134" s="66">
        <v>-1.4779288903810084E-12</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HLOOKUP(INDICE!$F$2,Nombres!$C$3:$D$636,77,FALSE)</f>
        <v>(Million Turkish liras)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14409.242734423213</v>
      </c>
      <c r="C139" s="44">
        <v>22265.093236671135</v>
      </c>
      <c r="D139" s="44">
        <v>53131.64548145569</v>
      </c>
      <c r="E139" s="45">
        <v>47580.73057092135</v>
      </c>
      <c r="F139" s="44">
        <v>45498.72543930164</v>
      </c>
      <c r="G139" s="44">
        <v>50470.88279848846</v>
      </c>
      <c r="H139" s="44">
        <v>43280.68016487936</v>
      </c>
    </row>
    <row r="140" spans="1:8" ht="15">
      <c r="A140" s="43" t="str">
        <f>HLOOKUP(INDICE!$F$2,Nombres!$C$3:$D$636,53,FALSE)</f>
        <v>Financial assets designated at fair value </v>
      </c>
      <c r="B140" s="60">
        <v>29353.375909727598</v>
      </c>
      <c r="C140" s="60">
        <v>31422.86153566909</v>
      </c>
      <c r="D140" s="60">
        <v>38623.90388298798</v>
      </c>
      <c r="E140" s="68">
        <v>33361.722882295566</v>
      </c>
      <c r="F140" s="44">
        <v>35519.03762607935</v>
      </c>
      <c r="G140" s="44">
        <v>34513.3759589921</v>
      </c>
      <c r="H140" s="44">
        <v>34424.43274078358</v>
      </c>
    </row>
    <row r="141" spans="1:8" ht="15">
      <c r="A141" s="43" t="str">
        <f>HLOOKUP(INDICE!$F$2,Nombres!$C$3:$D$636,54,FALSE)</f>
        <v>Financial assets at amortized cost</v>
      </c>
      <c r="B141" s="44">
        <v>305709.8030188753</v>
      </c>
      <c r="C141" s="44">
        <v>319475.12532097654</v>
      </c>
      <c r="D141" s="44">
        <v>350643.45464043185</v>
      </c>
      <c r="E141" s="45">
        <v>304846.2577779932</v>
      </c>
      <c r="F141" s="44">
        <v>327735.1412413321</v>
      </c>
      <c r="G141" s="44">
        <v>322490.38743892626</v>
      </c>
      <c r="H141" s="44">
        <v>319005.9060259479</v>
      </c>
    </row>
    <row r="142" spans="1:8" ht="15">
      <c r="A142" s="43" t="str">
        <f>HLOOKUP(INDICE!$F$2,Nombres!$C$3:$D$636,55,FALSE)</f>
        <v>    of which loans and advances to customers</v>
      </c>
      <c r="B142" s="44">
        <v>243662.04660547944</v>
      </c>
      <c r="C142" s="44">
        <v>259074.0981961253</v>
      </c>
      <c r="D142" s="44">
        <v>284401.0308201288</v>
      </c>
      <c r="E142" s="45">
        <v>251306.06668322743</v>
      </c>
      <c r="F142" s="44">
        <v>266632.07512919564</v>
      </c>
      <c r="G142" s="44">
        <v>257932.79763294107</v>
      </c>
      <c r="H142" s="44">
        <v>250733.45102928043</v>
      </c>
    </row>
    <row r="143" spans="1:8" ht="15">
      <c r="A143" s="43" t="str">
        <f>HLOOKUP(INDICE!$F$2,Nombres!$C$3:$D$636,56,FALSE)</f>
        <v>Tangible assets</v>
      </c>
      <c r="B143" s="44">
        <v>6130.124104965178</v>
      </c>
      <c r="C143" s="44">
        <v>6265.712501134429</v>
      </c>
      <c r="D143" s="44">
        <v>6436.99111962389</v>
      </c>
      <c r="E143" s="45">
        <v>6418.6696072075565</v>
      </c>
      <c r="F143" s="44">
        <v>7384.435527816496</v>
      </c>
      <c r="G143" s="44">
        <v>7409.258666998307</v>
      </c>
      <c r="H143" s="44">
        <v>7280.977135196528</v>
      </c>
    </row>
    <row r="144" spans="1:8" ht="15">
      <c r="A144" s="43" t="str">
        <f>HLOOKUP(INDICE!$F$2,Nombres!$C$3:$D$636,57,FALSE)</f>
        <v>Other assets</v>
      </c>
      <c r="B144" s="60">
        <f>+B145-B143-B141-B140-B139</f>
        <v>8724.70638939771</v>
      </c>
      <c r="C144" s="60">
        <f aca="true" t="shared" si="25" ref="C144:H144">+C145-C143-C141-C140-C139</f>
        <v>9310.30488097839</v>
      </c>
      <c r="D144" s="60">
        <f t="shared" si="25"/>
        <v>11096.743862092982</v>
      </c>
      <c r="E144" s="68">
        <f t="shared" si="25"/>
        <v>9188.507655302317</v>
      </c>
      <c r="F144" s="44">
        <f t="shared" si="25"/>
        <v>9777.212593421791</v>
      </c>
      <c r="G144" s="44">
        <f t="shared" si="25"/>
        <v>9515.123095563584</v>
      </c>
      <c r="H144" s="44">
        <f t="shared" si="25"/>
        <v>8956.447008595715</v>
      </c>
    </row>
    <row r="145" spans="1:8" ht="15">
      <c r="A145" s="47" t="str">
        <f>HLOOKUP(INDICE!$F$2,Nombres!$C$3:$D$636,58,FALSE)</f>
        <v>Total assets / Liabilities and equity</v>
      </c>
      <c r="B145" s="47">
        <v>364327.252157389</v>
      </c>
      <c r="C145" s="47">
        <v>388739.0974754296</v>
      </c>
      <c r="D145" s="47">
        <v>459932.7389865924</v>
      </c>
      <c r="E145" s="74">
        <v>401395.88849372</v>
      </c>
      <c r="F145" s="53">
        <v>425914.55242795136</v>
      </c>
      <c r="G145" s="53">
        <v>424399.0279589687</v>
      </c>
      <c r="H145" s="53">
        <v>412948.44307540305</v>
      </c>
    </row>
    <row r="146" spans="1:8" ht="15">
      <c r="A146" s="43" t="str">
        <f>HLOOKUP(INDICE!$F$2,Nombres!$C$3:$D$636,59,FALSE)</f>
        <v>Financial liabilities held for trading and designated at fair value through profit or loss</v>
      </c>
      <c r="B146" s="60">
        <v>7847.542878412396</v>
      </c>
      <c r="C146" s="60">
        <v>10823.589705262144</v>
      </c>
      <c r="D146" s="60">
        <v>17843.37802542225</v>
      </c>
      <c r="E146" s="68">
        <v>11218.72292470721</v>
      </c>
      <c r="F146" s="44">
        <v>11368.527097825398</v>
      </c>
      <c r="G146" s="44">
        <v>14939.414450996588</v>
      </c>
      <c r="H146" s="44">
        <v>15312.482670892696</v>
      </c>
    </row>
    <row r="147" spans="1:8" ht="15">
      <c r="A147" s="43" t="str">
        <f>HLOOKUP(INDICE!$F$2,Nombres!$C$3:$D$636,60,FALSE)</f>
        <v>Deposits from central banks and credit institutions</v>
      </c>
      <c r="B147" s="60">
        <v>44182.058163795045</v>
      </c>
      <c r="C147" s="60">
        <v>50748.74412099147</v>
      </c>
      <c r="D147" s="60">
        <v>59473.89865923733</v>
      </c>
      <c r="E147" s="68">
        <v>40801.555901580745</v>
      </c>
      <c r="F147" s="44">
        <v>44095.61080469851</v>
      </c>
      <c r="G147" s="44">
        <v>35842.62708899181</v>
      </c>
      <c r="H147" s="44">
        <v>30364.839964485516</v>
      </c>
    </row>
    <row r="148" spans="1:8" ht="15">
      <c r="A148" s="43" t="str">
        <f>HLOOKUP(INDICE!$F$2,Nombres!$C$3:$D$636,61,FALSE)</f>
        <v>Deposits from customers</v>
      </c>
      <c r="B148" s="60">
        <v>211802.0148690874</v>
      </c>
      <c r="C148" s="60">
        <v>225864.9149312136</v>
      </c>
      <c r="D148" s="60">
        <v>270529.8972662372</v>
      </c>
      <c r="E148" s="68">
        <v>241774.31550630415</v>
      </c>
      <c r="F148" s="44">
        <v>257237.21985477465</v>
      </c>
      <c r="G148" s="44">
        <v>259046.43774294082</v>
      </c>
      <c r="H148" s="44">
        <v>256114.11030047789</v>
      </c>
    </row>
    <row r="149" spans="1:8" ht="15">
      <c r="A149" s="43" t="str">
        <f>HLOOKUP(INDICE!$F$2,Nombres!$C$3:$D$636,62,FALSE)</f>
        <v>Debt certificates</v>
      </c>
      <c r="B149" s="44">
        <v>33995.04853513042</v>
      </c>
      <c r="C149" s="44">
        <v>35188.517982692625</v>
      </c>
      <c r="D149" s="44">
        <v>39963.468570433564</v>
      </c>
      <c r="E149" s="45">
        <v>36135.96568291841</v>
      </c>
      <c r="F149" s="44">
        <v>40194.9443800898</v>
      </c>
      <c r="G149" s="44">
        <v>38072.8946114913</v>
      </c>
      <c r="H149" s="44">
        <v>29739.16903948582</v>
      </c>
    </row>
    <row r="150" spans="1:8" ht="15">
      <c r="A150" s="43" t="str">
        <f>HLOOKUP(INDICE!$F$2,Nombres!$C$3:$D$636,63,FALSE)</f>
        <v>Other liabilities</v>
      </c>
      <c r="B150" s="60">
        <f>+B145-B146-B147-B148-B149-B151</f>
        <v>53882.97455211526</v>
      </c>
      <c r="C150" s="60">
        <f aca="true" t="shared" si="26" ref="C150:H150">+C145-C146-C147-C148-C149-C151</f>
        <v>53710.58280259875</v>
      </c>
      <c r="D150" s="60">
        <f t="shared" si="26"/>
        <v>57780.7919726276</v>
      </c>
      <c r="E150" s="68">
        <f t="shared" si="26"/>
        <v>56144.005610091524</v>
      </c>
      <c r="F150" s="44">
        <f t="shared" si="26"/>
        <v>55743.9952265624</v>
      </c>
      <c r="G150" s="44">
        <f t="shared" si="26"/>
        <v>59423.38948737708</v>
      </c>
      <c r="H150" s="44">
        <f t="shared" si="26"/>
        <v>65515.88138772114</v>
      </c>
    </row>
    <row r="151" spans="1:8" ht="15">
      <c r="A151" s="43" t="str">
        <f>HLOOKUP(INDICE!$F$2,Nombres!$C$3:$D$636,64,FALSE)</f>
        <v>Economic capital allocated</v>
      </c>
      <c r="B151" s="44">
        <v>12617.613158848479</v>
      </c>
      <c r="C151" s="44">
        <v>12402.74793267101</v>
      </c>
      <c r="D151" s="44">
        <v>14341.304492634517</v>
      </c>
      <c r="E151" s="45">
        <v>15321.322868117943</v>
      </c>
      <c r="F151" s="44">
        <v>17274.255064000594</v>
      </c>
      <c r="G151" s="44">
        <v>17074.264577171096</v>
      </c>
      <c r="H151" s="44">
        <v>15901.95971234004</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HLOOKUP(INDICE!$F$2,Nombres!$C$3:$D$636,77,FALSE)</f>
        <v>(Million Turkish liras)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253363.11721895175</v>
      </c>
      <c r="C157" s="44">
        <v>270113.4802128988</v>
      </c>
      <c r="D157" s="44">
        <v>298714.6578443322</v>
      </c>
      <c r="E157" s="45">
        <v>264882.5803246309</v>
      </c>
      <c r="F157" s="44">
        <v>281546.5166872289</v>
      </c>
      <c r="G157" s="44">
        <v>273349.2941414375</v>
      </c>
      <c r="H157" s="44">
        <v>267487.43031857244</v>
      </c>
    </row>
    <row r="158" spans="1:8" ht="15.75" customHeight="1">
      <c r="A158" s="43" t="str">
        <f>HLOOKUP(INDICE!$F$2,Nombres!$C$3:$D$636,67,FALSE)</f>
        <v>Customer deposits under management (*)</v>
      </c>
      <c r="B158" s="44">
        <v>211298.92448893635</v>
      </c>
      <c r="C158" s="44">
        <v>225813.99110608106</v>
      </c>
      <c r="D158" s="44">
        <v>270493.6374717047</v>
      </c>
      <c r="E158" s="45">
        <v>241728.89869069186</v>
      </c>
      <c r="F158" s="44">
        <v>257210.06496677463</v>
      </c>
      <c r="G158" s="44">
        <v>259022.6246744408</v>
      </c>
      <c r="H158" s="44">
        <v>256094.5315660779</v>
      </c>
    </row>
    <row r="159" spans="1:8" ht="15.75" customHeight="1">
      <c r="A159" s="43" t="str">
        <f>HLOOKUP(INDICE!$F$2,Nombres!$C$3:$D$636,68,FALSE)</f>
        <v>Mutual funds</v>
      </c>
      <c r="B159" s="44">
        <v>6519.0467328168</v>
      </c>
      <c r="C159" s="44">
        <v>5891.004115973286</v>
      </c>
      <c r="D159" s="44">
        <v>4503.715827964478</v>
      </c>
      <c r="E159" s="45">
        <v>4055.910668952856</v>
      </c>
      <c r="F159" s="44">
        <v>4805.146256010735</v>
      </c>
      <c r="G159" s="44">
        <v>5726.475058498691</v>
      </c>
      <c r="H159" s="44">
        <v>6365.203970396964</v>
      </c>
    </row>
    <row r="160" spans="1:8" ht="15.75" customHeight="1">
      <c r="A160" s="43" t="str">
        <f>HLOOKUP(INDICE!$F$2,Nombres!$C$3:$D$636,69,FALSE)</f>
        <v>Pension funds</v>
      </c>
      <c r="B160" s="44">
        <v>12389.564212320382</v>
      </c>
      <c r="C160" s="44">
        <v>12471.564550312567</v>
      </c>
      <c r="D160" s="44">
        <v>13489.639561204945</v>
      </c>
      <c r="E160" s="45">
        <v>13478.415500851263</v>
      </c>
      <c r="F160" s="44">
        <v>16574.91854703703</v>
      </c>
      <c r="G160" s="44">
        <v>13858.181648996831</v>
      </c>
      <c r="H160" s="44">
        <v>14913.326142592889</v>
      </c>
    </row>
    <row r="161" spans="1:8" ht="15">
      <c r="A161" s="43" t="str">
        <f>HLOOKUP(INDICE!$F$2,Nombres!$C$3:$D$636,70,FALSE)</f>
        <v>Other off balance-sheet funds</v>
      </c>
      <c r="B161" s="44" t="s">
        <v>407</v>
      </c>
      <c r="C161" s="44" t="s">
        <v>407</v>
      </c>
      <c r="D161" s="44" t="s">
        <v>407</v>
      </c>
      <c r="E161" s="45" t="s">
        <v>407</v>
      </c>
      <c r="F161" s="44" t="s">
        <v>407</v>
      </c>
      <c r="G161" s="44" t="s">
        <v>407</v>
      </c>
      <c r="H161" s="44" t="s">
        <v>407</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HLOOKUP(INDICE!$F$2,Nombres!$C$3:$D$636,13,FALSE)</f>
        <v>South America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791.12410111</v>
      </c>
      <c r="C8" s="41">
        <v>761.73039582</v>
      </c>
      <c r="D8" s="41">
        <v>673.5030182399998</v>
      </c>
      <c r="E8" s="42">
        <v>782.9736345700001</v>
      </c>
      <c r="F8" s="52">
        <v>760.2469960400001</v>
      </c>
      <c r="G8" s="52">
        <v>852.45497825</v>
      </c>
      <c r="H8" s="52">
        <v>762.84097045</v>
      </c>
    </row>
    <row r="9" spans="1:8" ht="15">
      <c r="A9" s="43" t="str">
        <f>HLOOKUP(INDICE!$F$2,Nombres!$C$3:$D$636,34,FALSE)</f>
        <v>Net fees and commissions</v>
      </c>
      <c r="B9" s="44">
        <v>163.14159989</v>
      </c>
      <c r="C9" s="44">
        <v>157.38317693</v>
      </c>
      <c r="D9" s="44">
        <v>134.23518327000002</v>
      </c>
      <c r="E9" s="45">
        <v>176.73583408000002</v>
      </c>
      <c r="F9" s="44">
        <v>134.72437054999997</v>
      </c>
      <c r="G9" s="44">
        <v>163.64929165</v>
      </c>
      <c r="H9" s="44">
        <v>125.36818768</v>
      </c>
    </row>
    <row r="10" spans="1:8" ht="15">
      <c r="A10" s="43" t="str">
        <f>HLOOKUP(INDICE!$F$2,Nombres!$C$3:$D$636,35,FALSE)</f>
        <v>Net trading income</v>
      </c>
      <c r="B10" s="44">
        <v>111.51594849999995</v>
      </c>
      <c r="C10" s="44">
        <v>107.37846949999998</v>
      </c>
      <c r="D10" s="44">
        <v>83.74162171</v>
      </c>
      <c r="E10" s="45">
        <v>101.92795367000002</v>
      </c>
      <c r="F10" s="44">
        <v>206.19724782999998</v>
      </c>
      <c r="G10" s="44">
        <v>108.25140378999998</v>
      </c>
      <c r="H10" s="44">
        <v>102.93838012</v>
      </c>
    </row>
    <row r="11" spans="1:8" ht="15">
      <c r="A11" s="43" t="str">
        <f>HLOOKUP(INDICE!$F$2,Nombres!$C$3:$D$636,36,FALSE)</f>
        <v>Other operating income and expenses</v>
      </c>
      <c r="B11" s="44">
        <v>-58.08843105</v>
      </c>
      <c r="C11" s="44">
        <v>-47.484126079999996</v>
      </c>
      <c r="D11" s="44">
        <v>-101.65844287</v>
      </c>
      <c r="E11" s="45">
        <v>-137.16999999999996</v>
      </c>
      <c r="F11" s="44">
        <v>-116.178</v>
      </c>
      <c r="G11" s="44">
        <v>-114.885</v>
      </c>
      <c r="H11" s="44">
        <v>-101.61699999999996</v>
      </c>
    </row>
    <row r="12" spans="1:8" ht="15">
      <c r="A12" s="41" t="str">
        <f>HLOOKUP(INDICE!$F$2,Nombres!$C$3:$D$636,37,FALSE)</f>
        <v>Gross income</v>
      </c>
      <c r="B12" s="41">
        <f>+SUM(B8:B11)</f>
        <v>1007.6932184499999</v>
      </c>
      <c r="C12" s="41">
        <f aca="true" t="shared" si="0" ref="C12:H12">+SUM(C8:C11)</f>
        <v>979.0079161699999</v>
      </c>
      <c r="D12" s="41">
        <f t="shared" si="0"/>
        <v>789.8213803499998</v>
      </c>
      <c r="E12" s="42">
        <f t="shared" si="0"/>
        <v>924.4674223200001</v>
      </c>
      <c r="F12" s="52">
        <f t="shared" si="0"/>
        <v>984.99061442</v>
      </c>
      <c r="G12" s="52">
        <f t="shared" si="0"/>
        <v>1009.47067369</v>
      </c>
      <c r="H12" s="52">
        <f t="shared" si="0"/>
        <v>889.5305382500001</v>
      </c>
    </row>
    <row r="13" spans="1:8" ht="15">
      <c r="A13" s="43" t="str">
        <f>HLOOKUP(INDICE!$F$2,Nombres!$C$3:$D$636,38,FALSE)</f>
        <v>Operating expenses</v>
      </c>
      <c r="B13" s="44">
        <v>-484.64725783</v>
      </c>
      <c r="C13" s="44">
        <v>-424.2609111</v>
      </c>
      <c r="D13" s="44">
        <v>-354.89016196</v>
      </c>
      <c r="E13" s="45">
        <v>-445.52052251</v>
      </c>
      <c r="F13" s="44">
        <v>-378.57976147000005</v>
      </c>
      <c r="G13" s="44">
        <v>-400.71090519000006</v>
      </c>
      <c r="H13" s="44">
        <v>-371.24367008</v>
      </c>
    </row>
    <row r="14" spans="1:8" ht="15">
      <c r="A14" s="43" t="str">
        <f>HLOOKUP(INDICE!$F$2,Nombres!$C$3:$D$636,39,FALSE)</f>
        <v>  Administration expenses</v>
      </c>
      <c r="B14" s="44">
        <v>-457.80051861</v>
      </c>
      <c r="C14" s="44">
        <v>-398.73946805</v>
      </c>
      <c r="D14" s="44">
        <v>-316.47534422999996</v>
      </c>
      <c r="E14" s="45">
        <v>-410.99552251</v>
      </c>
      <c r="F14" s="44">
        <v>-337.35576147</v>
      </c>
      <c r="G14" s="44">
        <v>-357.70790518999996</v>
      </c>
      <c r="H14" s="44">
        <v>-332.54767008</v>
      </c>
    </row>
    <row r="15" spans="1:8" ht="15">
      <c r="A15" s="46" t="str">
        <f>HLOOKUP(INDICE!$F$2,Nombres!$C$3:$D$636,40,FALSE)</f>
        <v>  Personnel expenses</v>
      </c>
      <c r="B15" s="44">
        <v>-246.44333397000003</v>
      </c>
      <c r="C15" s="44">
        <v>-218.94017542999998</v>
      </c>
      <c r="D15" s="44">
        <v>-160.79345786000002</v>
      </c>
      <c r="E15" s="45">
        <v>-219.64062291</v>
      </c>
      <c r="F15" s="44">
        <v>-194.99451276</v>
      </c>
      <c r="G15" s="44">
        <v>-206.80953108</v>
      </c>
      <c r="H15" s="44">
        <v>-181.89978388</v>
      </c>
    </row>
    <row r="16" spans="1:8" ht="15">
      <c r="A16" s="46" t="str">
        <f>HLOOKUP(INDICE!$F$2,Nombres!$C$3:$D$636,41,FALSE)</f>
        <v>  General and administrative expenses</v>
      </c>
      <c r="B16" s="44">
        <v>-211.35718463999996</v>
      </c>
      <c r="C16" s="44">
        <v>-179.79929262</v>
      </c>
      <c r="D16" s="44">
        <v>-155.68188636999997</v>
      </c>
      <c r="E16" s="45">
        <v>-191.35489960000004</v>
      </c>
      <c r="F16" s="44">
        <v>-142.36124870999998</v>
      </c>
      <c r="G16" s="44">
        <v>-150.89837411</v>
      </c>
      <c r="H16" s="44">
        <v>-150.64788620000002</v>
      </c>
    </row>
    <row r="17" spans="1:8" ht="15">
      <c r="A17" s="43" t="str">
        <f>HLOOKUP(INDICE!$F$2,Nombres!$C$3:$D$636,42,FALSE)</f>
        <v>  Depreciation</v>
      </c>
      <c r="B17" s="44">
        <v>-26.846739220000003</v>
      </c>
      <c r="C17" s="44">
        <v>-25.52144305</v>
      </c>
      <c r="D17" s="44">
        <v>-38.414817729999996</v>
      </c>
      <c r="E17" s="45">
        <v>-34.525</v>
      </c>
      <c r="F17" s="44">
        <v>-41.224</v>
      </c>
      <c r="G17" s="44">
        <v>-43.003</v>
      </c>
      <c r="H17" s="44">
        <v>-38.696</v>
      </c>
    </row>
    <row r="18" spans="1:8" ht="15">
      <c r="A18" s="41" t="str">
        <f>HLOOKUP(INDICE!$F$2,Nombres!$C$3:$D$636,43,FALSE)</f>
        <v>Operating income</v>
      </c>
      <c r="B18" s="41">
        <f>+B12+B13</f>
        <v>523.04596062</v>
      </c>
      <c r="C18" s="41">
        <f aca="true" t="shared" si="1" ref="C18:H18">+C12+C13</f>
        <v>554.7470050699999</v>
      </c>
      <c r="D18" s="41">
        <f t="shared" si="1"/>
        <v>434.9312183899998</v>
      </c>
      <c r="E18" s="42">
        <f t="shared" si="1"/>
        <v>478.9468998100001</v>
      </c>
      <c r="F18" s="52">
        <f t="shared" si="1"/>
        <v>606.4108529499999</v>
      </c>
      <c r="G18" s="52">
        <f t="shared" si="1"/>
        <v>608.7597685</v>
      </c>
      <c r="H18" s="52">
        <f t="shared" si="1"/>
        <v>518.28686817</v>
      </c>
    </row>
    <row r="19" spans="1:8" ht="15">
      <c r="A19" s="43" t="str">
        <f>HLOOKUP(INDICE!$F$2,Nombres!$C$3:$D$636,44,FALSE)</f>
        <v>Impaiment on financial assets not measured at fair value through profit or loss</v>
      </c>
      <c r="B19" s="44">
        <v>-166.76951220999993</v>
      </c>
      <c r="C19" s="44">
        <v>-153.75077930999998</v>
      </c>
      <c r="D19" s="44">
        <v>-181.82970847999997</v>
      </c>
      <c r="E19" s="45">
        <v>-135.70400005</v>
      </c>
      <c r="F19" s="44">
        <v>-176.95100000000002</v>
      </c>
      <c r="G19" s="44">
        <v>-172.462</v>
      </c>
      <c r="H19" s="44">
        <v>-213.607</v>
      </c>
    </row>
    <row r="20" spans="1:8" ht="15">
      <c r="A20" s="43" t="str">
        <f>HLOOKUP(INDICE!$F$2,Nombres!$C$3:$D$636,45,FALSE)</f>
        <v>Provisions or reversal of provisions and other results</v>
      </c>
      <c r="B20" s="44">
        <v>-10.842929990000005</v>
      </c>
      <c r="C20" s="44">
        <v>-22.88396877</v>
      </c>
      <c r="D20" s="44">
        <v>-4.38081325</v>
      </c>
      <c r="E20" s="45">
        <v>-27.37199998000001</v>
      </c>
      <c r="F20" s="44">
        <v>-12.426999999999996</v>
      </c>
      <c r="G20" s="44">
        <v>-6.579999999999991</v>
      </c>
      <c r="H20" s="44">
        <v>-14.749000000000011</v>
      </c>
    </row>
    <row r="21" spans="1:8" ht="15">
      <c r="A21" s="41" t="str">
        <f>HLOOKUP(INDICE!$F$2,Nombres!$C$3:$D$636,46,FALSE)</f>
        <v>Profit/(loss) before tax</v>
      </c>
      <c r="B21" s="41">
        <f>+B18+B19+B20</f>
        <v>345.43351842000004</v>
      </c>
      <c r="C21" s="41">
        <f aca="true" t="shared" si="2" ref="C21:H21">+C18+C19+C20</f>
        <v>378.1122569899999</v>
      </c>
      <c r="D21" s="41">
        <f t="shared" si="2"/>
        <v>248.72069665999985</v>
      </c>
      <c r="E21" s="42">
        <f t="shared" si="2"/>
        <v>315.8708997800001</v>
      </c>
      <c r="F21" s="52">
        <f t="shared" si="2"/>
        <v>417.0328529499999</v>
      </c>
      <c r="G21" s="52">
        <f t="shared" si="2"/>
        <v>429.7177685</v>
      </c>
      <c r="H21" s="52">
        <f t="shared" si="2"/>
        <v>289.93086817000005</v>
      </c>
    </row>
    <row r="22" spans="1:8" ht="15">
      <c r="A22" s="43" t="str">
        <f>HLOOKUP(INDICE!$F$2,Nombres!$C$3:$D$636,47,FALSE)</f>
        <v>Income tax</v>
      </c>
      <c r="B22" s="44">
        <v>-132.83929408999998</v>
      </c>
      <c r="C22" s="44">
        <v>-125.97407058000002</v>
      </c>
      <c r="D22" s="44">
        <v>-75.40175269000001</v>
      </c>
      <c r="E22" s="45">
        <v>-134.66705856</v>
      </c>
      <c r="F22" s="44">
        <v>-137.76212581</v>
      </c>
      <c r="G22" s="44">
        <v>-133.42388688</v>
      </c>
      <c r="H22" s="44">
        <v>-49.62055457</v>
      </c>
    </row>
    <row r="23" spans="1:8" ht="15">
      <c r="A23" s="41" t="str">
        <f>HLOOKUP(INDICE!$F$2,Nombres!$C$3:$D$636,48,FALSE)</f>
        <v>Profit/(loss) for the year</v>
      </c>
      <c r="B23" s="41">
        <f>+B21+B22</f>
        <v>212.59422433000006</v>
      </c>
      <c r="C23" s="41">
        <f aca="true" t="shared" si="3" ref="C23:H23">+C21+C22</f>
        <v>252.13818640999986</v>
      </c>
      <c r="D23" s="41">
        <f t="shared" si="3"/>
        <v>173.31894396999985</v>
      </c>
      <c r="E23" s="42">
        <f t="shared" si="3"/>
        <v>181.20384122000013</v>
      </c>
      <c r="F23" s="52">
        <f t="shared" si="3"/>
        <v>279.2707271399999</v>
      </c>
      <c r="G23" s="52">
        <f t="shared" si="3"/>
        <v>296.29388162</v>
      </c>
      <c r="H23" s="52">
        <f t="shared" si="3"/>
        <v>240.31031360000006</v>
      </c>
    </row>
    <row r="24" spans="1:8" ht="15">
      <c r="A24" s="43" t="str">
        <f>HLOOKUP(INDICE!$F$2,Nombres!$C$3:$D$636,49,FALSE)</f>
        <v>Non-controlling interests</v>
      </c>
      <c r="B24" s="44">
        <v>-55.50989721</v>
      </c>
      <c r="C24" s="44">
        <v>-77.55336223</v>
      </c>
      <c r="D24" s="44">
        <v>-48.110629160000016</v>
      </c>
      <c r="E24" s="45">
        <v>-60.17477248</v>
      </c>
      <c r="F24" s="44">
        <v>-86.11211804999999</v>
      </c>
      <c r="G24" s="44">
        <v>-85.25376215000001</v>
      </c>
      <c r="H24" s="44">
        <v>-75.68045953999999</v>
      </c>
    </row>
    <row r="25" spans="1:8" ht="15">
      <c r="A25" s="47" t="str">
        <f>HLOOKUP(INDICE!$F$2,Nombres!$C$3:$D$636,50,FALSE)</f>
        <v>Net attributable profit</v>
      </c>
      <c r="B25" s="47">
        <f>+B23+B24</f>
        <v>157.08432712000007</v>
      </c>
      <c r="C25" s="47">
        <f aca="true" t="shared" si="4" ref="C25:H25">+C23+C24</f>
        <v>174.58482417999986</v>
      </c>
      <c r="D25" s="47">
        <f t="shared" si="4"/>
        <v>125.20831480999983</v>
      </c>
      <c r="E25" s="47">
        <f t="shared" si="4"/>
        <v>121.02906874000013</v>
      </c>
      <c r="F25" s="53">
        <f t="shared" si="4"/>
        <v>193.1586090899999</v>
      </c>
      <c r="G25" s="53">
        <f t="shared" si="4"/>
        <v>211.04011946999998</v>
      </c>
      <c r="H25" s="53">
        <f t="shared" si="4"/>
        <v>164.62985406000007</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9" ht="15">
      <c r="A31" s="43" t="str">
        <f>HLOOKUP(INDICE!$F$2,Nombres!$C$3:$D$636,52,FALSE)</f>
        <v>Cash, cash balances at central banks and other demand deposits</v>
      </c>
      <c r="B31" s="44">
        <v>7920.8240000000005</v>
      </c>
      <c r="C31" s="44">
        <v>7514.108</v>
      </c>
      <c r="D31" s="44">
        <v>7211.144</v>
      </c>
      <c r="E31" s="45">
        <v>8987.174</v>
      </c>
      <c r="F31" s="44">
        <v>8830.099</v>
      </c>
      <c r="G31" s="44">
        <v>7661.6630000000005</v>
      </c>
      <c r="H31" s="44">
        <v>7162.622</v>
      </c>
      <c r="I31" s="86"/>
    </row>
    <row r="32" spans="1:9" ht="15">
      <c r="A32" s="43" t="str">
        <f>HLOOKUP(INDICE!$F$2,Nombres!$C$3:$D$636,53,FALSE)</f>
        <v>Financial assets designated at fair value </v>
      </c>
      <c r="B32" s="60">
        <v>10176.386000000002</v>
      </c>
      <c r="C32" s="60">
        <v>10097.913</v>
      </c>
      <c r="D32" s="60">
        <v>6582.870000000001</v>
      </c>
      <c r="E32" s="68">
        <v>5633.866</v>
      </c>
      <c r="F32" s="44">
        <v>6861.115999999999</v>
      </c>
      <c r="G32" s="44">
        <v>7377.868</v>
      </c>
      <c r="H32" s="44">
        <v>7100.55</v>
      </c>
      <c r="I32" s="86"/>
    </row>
    <row r="33" spans="1:9" ht="15">
      <c r="A33" s="43" t="str">
        <f>HLOOKUP(INDICE!$F$2,Nombres!$C$3:$D$636,54,FALSE)</f>
        <v>Financial assets at amortized cost</v>
      </c>
      <c r="B33" s="44">
        <v>51933.614999979996</v>
      </c>
      <c r="C33" s="44">
        <v>51383.013999999996</v>
      </c>
      <c r="D33" s="44">
        <v>36502.24999999999</v>
      </c>
      <c r="E33" s="45">
        <v>36648.668999999994</v>
      </c>
      <c r="F33" s="44">
        <v>37985.671</v>
      </c>
      <c r="G33" s="44">
        <v>37996.3510643</v>
      </c>
      <c r="H33" s="44">
        <v>38230.965000000004</v>
      </c>
      <c r="I33" s="86"/>
    </row>
    <row r="34" spans="1:9" ht="15">
      <c r="A34" s="43" t="str">
        <f>HLOOKUP(INDICE!$F$2,Nombres!$C$3:$D$636,55,FALSE)</f>
        <v>    of which loans and advances to customers</v>
      </c>
      <c r="B34" s="44">
        <v>48400.22699998</v>
      </c>
      <c r="C34" s="44">
        <v>48837.024</v>
      </c>
      <c r="D34" s="44">
        <v>34794.928</v>
      </c>
      <c r="E34" s="45">
        <v>34469.28999999999</v>
      </c>
      <c r="F34" s="44">
        <v>35691.312</v>
      </c>
      <c r="G34" s="44">
        <v>35712.0800643</v>
      </c>
      <c r="H34" s="44">
        <v>35874.947</v>
      </c>
      <c r="I34" s="86"/>
    </row>
    <row r="35" spans="1:9" ht="15">
      <c r="A35" s="43" t="str">
        <f>HLOOKUP(INDICE!$F$2,Nombres!$C$3:$D$636,56,FALSE)</f>
        <v>Tangible assets</v>
      </c>
      <c r="B35" s="44">
        <v>977.4850452399999</v>
      </c>
      <c r="C35" s="44">
        <v>867.0092219599999</v>
      </c>
      <c r="D35" s="44">
        <v>722.8199999999999</v>
      </c>
      <c r="E35" s="45">
        <v>813.0357542200002</v>
      </c>
      <c r="F35" s="44">
        <v>972.435</v>
      </c>
      <c r="G35" s="44">
        <v>1000.5010000000001</v>
      </c>
      <c r="H35" s="44">
        <v>961.4799999999999</v>
      </c>
      <c r="I35" s="86"/>
    </row>
    <row r="36" spans="1:9" ht="15">
      <c r="A36" s="43" t="str">
        <f>HLOOKUP(INDICE!$F$2,Nombres!$C$3:$D$636,57,FALSE)</f>
        <v>Other assets</v>
      </c>
      <c r="B36" s="60">
        <f aca="true" t="shared" si="5" ref="B36:H36">+B37-B35-B33-B32-B31</f>
        <v>3208.4397557000084</v>
      </c>
      <c r="C36" s="60">
        <f t="shared" si="5"/>
        <v>3038.5657413299996</v>
      </c>
      <c r="D36" s="60">
        <f t="shared" si="5"/>
        <v>2045.3390000000018</v>
      </c>
      <c r="E36" s="68">
        <f t="shared" si="5"/>
        <v>2290.4712517000007</v>
      </c>
      <c r="F36" s="44">
        <f t="shared" si="5"/>
        <v>2382.012999999997</v>
      </c>
      <c r="G36" s="44">
        <f t="shared" si="5"/>
        <v>2396.9912348399976</v>
      </c>
      <c r="H36" s="44">
        <f t="shared" si="5"/>
        <v>2517.655699839989</v>
      </c>
      <c r="I36" s="86"/>
    </row>
    <row r="37" spans="1:9" ht="15">
      <c r="A37" s="47" t="str">
        <f>HLOOKUP(INDICE!$F$2,Nombres!$C$3:$D$636,58,FALSE)</f>
        <v>Total assets / Liabilities and equity</v>
      </c>
      <c r="B37" s="47">
        <v>74216.74980092</v>
      </c>
      <c r="C37" s="47">
        <v>72900.60996329</v>
      </c>
      <c r="D37" s="47">
        <v>53064.422999999995</v>
      </c>
      <c r="E37" s="47">
        <v>54373.216005919996</v>
      </c>
      <c r="F37" s="53">
        <v>57031.333999999995</v>
      </c>
      <c r="G37" s="53">
        <v>56433.37429913999</v>
      </c>
      <c r="H37" s="53">
        <v>55973.272699839996</v>
      </c>
      <c r="I37" s="86"/>
    </row>
    <row r="38" spans="1:9" ht="15">
      <c r="A38" s="43" t="str">
        <f>HLOOKUP(INDICE!$F$2,Nombres!$C$3:$D$636,59,FALSE)</f>
        <v>Financial liabilities held for trading and designated at fair value through profit or loss</v>
      </c>
      <c r="B38" s="60">
        <v>2575.2990000000004</v>
      </c>
      <c r="C38" s="60">
        <v>2656.99</v>
      </c>
      <c r="D38" s="60">
        <v>566.779</v>
      </c>
      <c r="E38" s="68">
        <v>1356.829</v>
      </c>
      <c r="F38" s="44">
        <v>2324.884</v>
      </c>
      <c r="G38" s="44">
        <v>1931.3759999999997</v>
      </c>
      <c r="H38" s="44">
        <v>1641.4089999999999</v>
      </c>
      <c r="I38" s="86"/>
    </row>
    <row r="39" spans="1:9" ht="15">
      <c r="A39" s="43" t="str">
        <f>HLOOKUP(INDICE!$F$2,Nombres!$C$3:$D$636,60,FALSE)</f>
        <v>Deposits from central banks and credit institutions</v>
      </c>
      <c r="B39" s="60">
        <v>5257.337</v>
      </c>
      <c r="C39" s="60">
        <v>5041.677000000001</v>
      </c>
      <c r="D39" s="60">
        <v>2988.6760000000004</v>
      </c>
      <c r="E39" s="68">
        <v>3075.554</v>
      </c>
      <c r="F39" s="44">
        <v>3153.6319999999996</v>
      </c>
      <c r="G39" s="44">
        <v>3230.6949999999997</v>
      </c>
      <c r="H39" s="44">
        <v>3682.479</v>
      </c>
      <c r="I39" s="86"/>
    </row>
    <row r="40" spans="1:9" ht="15.75" customHeight="1">
      <c r="A40" s="43" t="str">
        <f>HLOOKUP(INDICE!$F$2,Nombres!$C$3:$D$636,61,FALSE)</f>
        <v>Deposits from customers</v>
      </c>
      <c r="B40" s="60">
        <v>45229.64100001001</v>
      </c>
      <c r="C40" s="60">
        <v>45614.869999999995</v>
      </c>
      <c r="D40" s="60">
        <v>36404.816</v>
      </c>
      <c r="E40" s="68">
        <v>35841.565999989994</v>
      </c>
      <c r="F40" s="44">
        <v>37235.835</v>
      </c>
      <c r="G40" s="44">
        <v>36895.21650859</v>
      </c>
      <c r="H40" s="44">
        <v>36159.263000000006</v>
      </c>
      <c r="I40" s="86"/>
    </row>
    <row r="41" spans="1:9" ht="15">
      <c r="A41" s="43" t="str">
        <f>HLOOKUP(INDICE!$F$2,Nombres!$C$3:$D$636,62,FALSE)</f>
        <v>Debt certificates</v>
      </c>
      <c r="B41" s="44">
        <v>7411.900999999999</v>
      </c>
      <c r="C41" s="44">
        <v>6808.783</v>
      </c>
      <c r="D41" s="44">
        <v>3077.3810000000003</v>
      </c>
      <c r="E41" s="45">
        <v>3205.7799999999997</v>
      </c>
      <c r="F41" s="44">
        <v>3387.7419999999997</v>
      </c>
      <c r="G41" s="44">
        <v>3201.6079999999997</v>
      </c>
      <c r="H41" s="44">
        <v>3306.9010000000003</v>
      </c>
      <c r="I41" s="86"/>
    </row>
    <row r="42" spans="1:9" ht="15">
      <c r="A42" s="43" t="str">
        <f>HLOOKUP(INDICE!$F$2,Nombres!$C$3:$D$636,63,FALSE)</f>
        <v>Other liabilities</v>
      </c>
      <c r="B42" s="60">
        <f aca="true" t="shared" si="6" ref="B42:H42">+B37-B38-B39-B40-B41-B43</f>
        <v>10819.592518910002</v>
      </c>
      <c r="C42" s="60">
        <f t="shared" si="6"/>
        <v>9504.423013289997</v>
      </c>
      <c r="D42" s="60">
        <f>+D37-D38-D39-D40-D41-D43</f>
        <v>7659.859968179993</v>
      </c>
      <c r="E42" s="68">
        <f t="shared" si="6"/>
        <v>8538.952747610001</v>
      </c>
      <c r="F42" s="44">
        <f t="shared" si="6"/>
        <v>8500.71126</v>
      </c>
      <c r="G42" s="44">
        <f t="shared" si="6"/>
        <v>8722.063850549997</v>
      </c>
      <c r="H42" s="44">
        <f t="shared" si="6"/>
        <v>8807.81862014999</v>
      </c>
      <c r="I42" s="86"/>
    </row>
    <row r="43" spans="1:9" ht="15">
      <c r="A43" s="43" t="str">
        <f>HLOOKUP(INDICE!$F$2,Nombres!$C$3:$D$636,64,FALSE)</f>
        <v>Economic capital allocated</v>
      </c>
      <c r="B43" s="44">
        <v>2922.9792820000002</v>
      </c>
      <c r="C43" s="44">
        <v>3273.8669499999996</v>
      </c>
      <c r="D43" s="44">
        <v>2366.91103182</v>
      </c>
      <c r="E43" s="45">
        <v>2354.53425832</v>
      </c>
      <c r="F43" s="44">
        <v>2428.52974</v>
      </c>
      <c r="G43" s="44">
        <v>2452.4149400000006</v>
      </c>
      <c r="H43" s="44">
        <v>2375.40207969</v>
      </c>
      <c r="I43" s="86"/>
    </row>
    <row r="44" spans="1:9" ht="15">
      <c r="A44" s="65"/>
      <c r="B44" s="60"/>
      <c r="C44" s="60"/>
      <c r="D44" s="60"/>
      <c r="E44" s="60"/>
      <c r="F44" s="44"/>
      <c r="G44" s="44"/>
      <c r="H44" s="44"/>
      <c r="I44" s="86"/>
    </row>
    <row r="45" spans="1:9" ht="15">
      <c r="A45" s="43"/>
      <c r="B45" s="60"/>
      <c r="C45" s="60"/>
      <c r="D45" s="60"/>
      <c r="E45" s="60"/>
      <c r="F45" s="44"/>
      <c r="G45" s="44"/>
      <c r="H45" s="44"/>
      <c r="I45" s="86"/>
    </row>
    <row r="46" spans="1:9" ht="18">
      <c r="A46" s="33" t="str">
        <f>HLOOKUP(INDICE!$F$2,Nombres!$C$3:$D$636,65,FALSE)</f>
        <v>Relevant business indicators</v>
      </c>
      <c r="B46" s="34"/>
      <c r="C46" s="34"/>
      <c r="D46" s="34"/>
      <c r="E46" s="34"/>
      <c r="F46" s="72"/>
      <c r="G46" s="72"/>
      <c r="H46" s="72"/>
      <c r="I46" s="86"/>
    </row>
    <row r="47" spans="1:9" ht="15">
      <c r="A47" s="35" t="str">
        <f>HLOOKUP(INDICE!$F$2,Nombres!$C$3:$D$636,32,FALSE)</f>
        <v>(Million euros)</v>
      </c>
      <c r="B47" s="30"/>
      <c r="C47" s="30"/>
      <c r="D47" s="30"/>
      <c r="E47" s="30"/>
      <c r="F47" s="73"/>
      <c r="G47" s="44"/>
      <c r="H47" s="44"/>
      <c r="I47" s="86"/>
    </row>
    <row r="48" spans="1:9"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c r="I48" s="86"/>
    </row>
    <row r="49" spans="1:9" ht="15">
      <c r="A49" s="43" t="str">
        <f>HLOOKUP(INDICE!$F$2,Nombres!$C$3:$D$636,66,FALSE)</f>
        <v>Loans and advances to customers (gross) (*)</v>
      </c>
      <c r="B49" s="44">
        <v>49820.80301327999</v>
      </c>
      <c r="C49" s="44">
        <v>50019.67536535</v>
      </c>
      <c r="D49" s="44">
        <v>36307.506418720004</v>
      </c>
      <c r="E49" s="45">
        <v>35980.557186759994</v>
      </c>
      <c r="F49" s="44">
        <v>37226.72492212999</v>
      </c>
      <c r="G49" s="44">
        <v>37236.317957219995</v>
      </c>
      <c r="H49" s="44">
        <v>37401.43582346001</v>
      </c>
      <c r="I49" s="86"/>
    </row>
    <row r="50" spans="1:9" ht="15">
      <c r="A50" s="43" t="str">
        <f>HLOOKUP(INDICE!$F$2,Nombres!$C$3:$D$636,67,FALSE)</f>
        <v>Customer deposits under management (*)</v>
      </c>
      <c r="B50" s="44">
        <v>45233.86553773</v>
      </c>
      <c r="C50" s="44">
        <v>45343.53756411999</v>
      </c>
      <c r="D50" s="44">
        <v>36433.72286839</v>
      </c>
      <c r="E50" s="45">
        <v>35983.68052552</v>
      </c>
      <c r="F50" s="44">
        <v>37341.46268891</v>
      </c>
      <c r="G50" s="44">
        <v>36909.436516860005</v>
      </c>
      <c r="H50" s="44">
        <v>36163.63943142</v>
      </c>
      <c r="I50" s="86"/>
    </row>
    <row r="51" spans="1:9" ht="15">
      <c r="A51" s="43" t="str">
        <f>HLOOKUP(INDICE!$F$2,Nombres!$C$3:$D$636,68,FALSE)</f>
        <v>Mutual funds</v>
      </c>
      <c r="B51" s="44">
        <v>6142.394477799999</v>
      </c>
      <c r="C51" s="44">
        <v>5561.9444846900005</v>
      </c>
      <c r="D51" s="44">
        <v>3885.47672081</v>
      </c>
      <c r="E51" s="45">
        <v>3740.82961555</v>
      </c>
      <c r="F51" s="44">
        <v>4200.42768723</v>
      </c>
      <c r="G51" s="44">
        <v>4164.98669668</v>
      </c>
      <c r="H51" s="44">
        <v>3938.4021081</v>
      </c>
      <c r="I51" s="86"/>
    </row>
    <row r="52" spans="1:9" ht="15">
      <c r="A52" s="43" t="str">
        <f>HLOOKUP(INDICE!$F$2,Nombres!$C$3:$D$636,69,FALSE)</f>
        <v>Pension funds</v>
      </c>
      <c r="B52" s="44">
        <v>6875.24034009</v>
      </c>
      <c r="C52" s="44">
        <v>7407.77517479</v>
      </c>
      <c r="D52" s="44">
        <v>7656.76104086</v>
      </c>
      <c r="E52" s="45">
        <v>7921.10404079</v>
      </c>
      <c r="F52" s="44">
        <v>8280.6570624</v>
      </c>
      <c r="G52" s="44">
        <v>8412.01073898</v>
      </c>
      <c r="H52" s="44">
        <v>9047.52912357</v>
      </c>
      <c r="I52" s="86"/>
    </row>
    <row r="53" spans="1:9" ht="15">
      <c r="A53" s="43" t="str">
        <f>HLOOKUP(INDICE!$F$2,Nombres!$C$3:$D$636,70,FALSE)</f>
        <v>Other off balance-sheet funds</v>
      </c>
      <c r="B53" s="44" t="s">
        <v>407</v>
      </c>
      <c r="C53" s="44" t="s">
        <v>407</v>
      </c>
      <c r="D53" s="44" t="s">
        <v>407</v>
      </c>
      <c r="E53" s="45" t="s">
        <v>407</v>
      </c>
      <c r="F53" s="44" t="s">
        <v>407</v>
      </c>
      <c r="G53" s="44" t="s">
        <v>407</v>
      </c>
      <c r="H53" s="44" t="s">
        <v>407</v>
      </c>
      <c r="I53" s="86"/>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680.3723820864382</v>
      </c>
      <c r="C62" s="41">
        <v>708.9097207874524</v>
      </c>
      <c r="D62" s="41">
        <v>715.4934159495929</v>
      </c>
      <c r="E62" s="42">
        <v>714.7012196332179</v>
      </c>
      <c r="F62" s="52">
        <v>710.1151253959142</v>
      </c>
      <c r="G62" s="52">
        <v>790.8464427255446</v>
      </c>
      <c r="H62" s="52">
        <v>874.5813766185411</v>
      </c>
    </row>
    <row r="63" spans="1:8" ht="15">
      <c r="A63" s="43" t="str">
        <f>HLOOKUP(INDICE!$F$2,Nombres!$C$3:$D$636,34,FALSE)</f>
        <v>Net fees and commissions</v>
      </c>
      <c r="B63" s="44">
        <v>137.81430864818233</v>
      </c>
      <c r="C63" s="44">
        <v>149.79968754490187</v>
      </c>
      <c r="D63" s="44">
        <v>145.4130236446424</v>
      </c>
      <c r="E63" s="45">
        <v>161.6503634078484</v>
      </c>
      <c r="F63" s="44">
        <v>127.68604693943723</v>
      </c>
      <c r="G63" s="44">
        <v>152.65487764655367</v>
      </c>
      <c r="H63" s="44">
        <v>143.4009252940091</v>
      </c>
    </row>
    <row r="64" spans="1:8" ht="15">
      <c r="A64" s="43" t="str">
        <f>HLOOKUP(INDICE!$F$2,Nombres!$C$3:$D$636,35,FALSE)</f>
        <v>Net trading income</v>
      </c>
      <c r="B64" s="44">
        <v>88.66028519108619</v>
      </c>
      <c r="C64" s="44">
        <v>98.83863080777849</v>
      </c>
      <c r="D64" s="44">
        <v>92.97757561865178</v>
      </c>
      <c r="E64" s="45">
        <v>90.59696655991077</v>
      </c>
      <c r="F64" s="44">
        <v>177.29070665679694</v>
      </c>
      <c r="G64" s="44">
        <v>101.6594079690673</v>
      </c>
      <c r="H64" s="44">
        <v>138.43691711413578</v>
      </c>
    </row>
    <row r="65" spans="1:8" ht="15">
      <c r="A65" s="43" t="str">
        <f>HLOOKUP(INDICE!$F$2,Nombres!$C$3:$D$636,36,FALSE)</f>
        <v>Other operating income and expenses</v>
      </c>
      <c r="B65" s="44">
        <v>-67.44443921181872</v>
      </c>
      <c r="C65" s="44">
        <v>-52.08449147877798</v>
      </c>
      <c r="D65" s="44">
        <v>-95.5723655369579</v>
      </c>
      <c r="E65" s="45">
        <v>-141.38418016288168</v>
      </c>
      <c r="F65" s="44">
        <v>-110.66575635364327</v>
      </c>
      <c r="G65" s="44">
        <v>-112.76093831716292</v>
      </c>
      <c r="H65" s="44">
        <v>-109.25330532919381</v>
      </c>
    </row>
    <row r="66" spans="1:8" ht="15">
      <c r="A66" s="41" t="str">
        <f>HLOOKUP(INDICE!$F$2,Nombres!$C$3:$D$636,37,FALSE)</f>
        <v>Gross income</v>
      </c>
      <c r="B66" s="41">
        <f>+SUM(B62:B65)</f>
        <v>839.4025367138879</v>
      </c>
      <c r="C66" s="41">
        <f aca="true" t="shared" si="9" ref="C66:H66">+SUM(C62:C65)</f>
        <v>905.4635476613548</v>
      </c>
      <c r="D66" s="41">
        <f t="shared" si="9"/>
        <v>858.3116496759292</v>
      </c>
      <c r="E66" s="42">
        <f t="shared" si="9"/>
        <v>825.5643694380955</v>
      </c>
      <c r="F66" s="52">
        <f t="shared" si="9"/>
        <v>904.4261226385051</v>
      </c>
      <c r="G66" s="52">
        <f t="shared" si="9"/>
        <v>932.3997900240026</v>
      </c>
      <c r="H66" s="52">
        <f t="shared" si="9"/>
        <v>1047.165913697492</v>
      </c>
    </row>
    <row r="67" spans="1:8" ht="15">
      <c r="A67" s="43" t="str">
        <f>HLOOKUP(INDICE!$F$2,Nombres!$C$3:$D$636,38,FALSE)</f>
        <v>Operating expenses</v>
      </c>
      <c r="B67" s="44">
        <v>-392.80406088520783</v>
      </c>
      <c r="C67" s="44">
        <v>-395.32258884865826</v>
      </c>
      <c r="D67" s="44">
        <v>-392.03330202178404</v>
      </c>
      <c r="E67" s="45">
        <v>-397.1489667921859</v>
      </c>
      <c r="F67" s="44">
        <v>-355.3386233840016</v>
      </c>
      <c r="G67" s="44">
        <v>-375.00786090823556</v>
      </c>
      <c r="H67" s="44">
        <v>-420.18785244776285</v>
      </c>
    </row>
    <row r="68" spans="1:8" ht="15">
      <c r="A68" s="43" t="str">
        <f>HLOOKUP(INDICE!$F$2,Nombres!$C$3:$D$636,39,FALSE)</f>
        <v>  Administration expenses</v>
      </c>
      <c r="B68" s="44">
        <v>-370.14062460130685</v>
      </c>
      <c r="C68" s="44">
        <v>-371.1710588152989</v>
      </c>
      <c r="D68" s="44">
        <v>-351.8597675560175</v>
      </c>
      <c r="E68" s="45">
        <v>-364.95199519923545</v>
      </c>
      <c r="F68" s="44">
        <v>-315.72209318785775</v>
      </c>
      <c r="G68" s="44">
        <v>-333.7409238924131</v>
      </c>
      <c r="H68" s="44">
        <v>-378.14831965972917</v>
      </c>
    </row>
    <row r="69" spans="1:8" ht="15">
      <c r="A69" s="46" t="str">
        <f>HLOOKUP(INDICE!$F$2,Nombres!$C$3:$D$636,40,FALSE)</f>
        <v>  Personnel expenses</v>
      </c>
      <c r="B69" s="44">
        <v>-197.07286380959752</v>
      </c>
      <c r="C69" s="44">
        <v>-204.55042790423877</v>
      </c>
      <c r="D69" s="44">
        <v>-180.34664746681472</v>
      </c>
      <c r="E69" s="45">
        <v>-195.1671017468263</v>
      </c>
      <c r="F69" s="44">
        <v>-181.51895394309165</v>
      </c>
      <c r="G69" s="44">
        <v>-191.85344159915775</v>
      </c>
      <c r="H69" s="44">
        <v>-210.33143217775063</v>
      </c>
    </row>
    <row r="70" spans="1:8" ht="15">
      <c r="A70" s="46" t="str">
        <f>HLOOKUP(INDICE!$F$2,Nombres!$C$3:$D$636,41,FALSE)</f>
        <v>  General and administrative expenses</v>
      </c>
      <c r="B70" s="44">
        <v>-173.06776079170942</v>
      </c>
      <c r="C70" s="44">
        <v>-166.6206309110601</v>
      </c>
      <c r="D70" s="44">
        <v>-171.5131200892028</v>
      </c>
      <c r="E70" s="45">
        <v>-169.78489345240916</v>
      </c>
      <c r="F70" s="44">
        <v>-134.20313924476613</v>
      </c>
      <c r="G70" s="44">
        <v>-141.88748229325532</v>
      </c>
      <c r="H70" s="44">
        <v>-167.81688748197854</v>
      </c>
    </row>
    <row r="71" spans="1:8" ht="15">
      <c r="A71" s="43" t="str">
        <f>HLOOKUP(INDICE!$F$2,Nombres!$C$3:$D$636,42,FALSE)</f>
        <v>  Depreciation</v>
      </c>
      <c r="B71" s="44">
        <v>-22.663436283900932</v>
      </c>
      <c r="C71" s="44">
        <v>-24.151530033359396</v>
      </c>
      <c r="D71" s="44">
        <v>-40.173534465766465</v>
      </c>
      <c r="E71" s="45">
        <v>-32.19697159295047</v>
      </c>
      <c r="F71" s="44">
        <v>-39.61653019614383</v>
      </c>
      <c r="G71" s="44">
        <v>-41.266937015822535</v>
      </c>
      <c r="H71" s="44">
        <v>-42.03953278803364</v>
      </c>
    </row>
    <row r="72" spans="1:8" ht="15">
      <c r="A72" s="41" t="str">
        <f>HLOOKUP(INDICE!$F$2,Nombres!$C$3:$D$636,43,FALSE)</f>
        <v>Operating income</v>
      </c>
      <c r="B72" s="41">
        <f>+B66+B67</f>
        <v>446.5984758286801</v>
      </c>
      <c r="C72" s="41">
        <f aca="true" t="shared" si="10" ref="C72:H72">+C66+C67</f>
        <v>510.14095881269657</v>
      </c>
      <c r="D72" s="41">
        <f t="shared" si="10"/>
        <v>466.27834765414514</v>
      </c>
      <c r="E72" s="42">
        <f t="shared" si="10"/>
        <v>428.4154026459096</v>
      </c>
      <c r="F72" s="52">
        <f t="shared" si="10"/>
        <v>549.0874992545035</v>
      </c>
      <c r="G72" s="52">
        <f t="shared" si="10"/>
        <v>557.3919291157671</v>
      </c>
      <c r="H72" s="52">
        <f t="shared" si="10"/>
        <v>626.9780612497291</v>
      </c>
    </row>
    <row r="73" spans="1:8" ht="15">
      <c r="A73" s="43" t="str">
        <f>HLOOKUP(INDICE!$F$2,Nombres!$C$3:$D$636,44,FALSE)</f>
        <v>Impaiment on financial assets not measured at fair value through profit or loss</v>
      </c>
      <c r="B73" s="44">
        <v>-157.7242363878048</v>
      </c>
      <c r="C73" s="44">
        <v>-143.63198555077204</v>
      </c>
      <c r="D73" s="44">
        <v>-182.85900659379138</v>
      </c>
      <c r="E73" s="45">
        <v>-123.36357219705559</v>
      </c>
      <c r="F73" s="44">
        <v>-170.73060525110944</v>
      </c>
      <c r="G73" s="44">
        <v>-164.34409320339824</v>
      </c>
      <c r="H73" s="44">
        <v>-227.9453015454922</v>
      </c>
    </row>
    <row r="74" spans="1:8" ht="15">
      <c r="A74" s="43" t="str">
        <f>HLOOKUP(INDICE!$F$2,Nombres!$C$3:$D$636,45,FALSE)</f>
        <v>Provisions or reversal of provisions and other results</v>
      </c>
      <c r="B74" s="44">
        <v>-5.963902916123665</v>
      </c>
      <c r="C74" s="44">
        <v>-20.791986328624205</v>
      </c>
      <c r="D74" s="44">
        <v>-5.9759209802684925</v>
      </c>
      <c r="E74" s="45">
        <v>-24.973421871644057</v>
      </c>
      <c r="F74" s="44">
        <v>-11.283828998507875</v>
      </c>
      <c r="G74" s="44">
        <v>-4.206982962809812</v>
      </c>
      <c r="H74" s="44">
        <v>-18.26518803868231</v>
      </c>
    </row>
    <row r="75" spans="1:8" ht="15">
      <c r="A75" s="41" t="str">
        <f>HLOOKUP(INDICE!$F$2,Nombres!$C$3:$D$636,46,FALSE)</f>
        <v>Profit/(loss) before tax</v>
      </c>
      <c r="B75" s="41">
        <f>+B72+B73+B74</f>
        <v>282.9103365247516</v>
      </c>
      <c r="C75" s="41">
        <f aca="true" t="shared" si="11" ref="C75:H75">+C72+C73+C74</f>
        <v>345.71698693330035</v>
      </c>
      <c r="D75" s="41">
        <f t="shared" si="11"/>
        <v>277.4434200800853</v>
      </c>
      <c r="E75" s="42">
        <f t="shared" si="11"/>
        <v>280.0784085772099</v>
      </c>
      <c r="F75" s="52">
        <f t="shared" si="11"/>
        <v>367.07306500488625</v>
      </c>
      <c r="G75" s="52">
        <f t="shared" si="11"/>
        <v>388.840852949559</v>
      </c>
      <c r="H75" s="52">
        <f t="shared" si="11"/>
        <v>380.76757166555456</v>
      </c>
    </row>
    <row r="76" spans="1:8" ht="15">
      <c r="A76" s="43" t="str">
        <f>HLOOKUP(INDICE!$F$2,Nombres!$C$3:$D$636,47,FALSE)</f>
        <v>Income tax</v>
      </c>
      <c r="B76" s="44">
        <v>-114.35272036659791</v>
      </c>
      <c r="C76" s="44">
        <v>-112.68329005943923</v>
      </c>
      <c r="D76" s="44">
        <v>-94.5629064439667</v>
      </c>
      <c r="E76" s="45">
        <v>-123.50220958091157</v>
      </c>
      <c r="F76" s="44">
        <v>-123.82722032918869</v>
      </c>
      <c r="G76" s="44">
        <v>-122.67695172696858</v>
      </c>
      <c r="H76" s="44">
        <v>-74.30239520384269</v>
      </c>
    </row>
    <row r="77" spans="1:8" ht="15">
      <c r="A77" s="41" t="str">
        <f>HLOOKUP(INDICE!$F$2,Nombres!$C$3:$D$636,48,FALSE)</f>
        <v>Profit/(loss) for the year</v>
      </c>
      <c r="B77" s="41">
        <f>+B75+B76</f>
        <v>168.55761615815368</v>
      </c>
      <c r="C77" s="41">
        <f aca="true" t="shared" si="12" ref="C77:H77">+C75+C76</f>
        <v>233.03369687386112</v>
      </c>
      <c r="D77" s="41">
        <f t="shared" si="12"/>
        <v>182.88051363611856</v>
      </c>
      <c r="E77" s="42">
        <f t="shared" si="12"/>
        <v>156.57619899629836</v>
      </c>
      <c r="F77" s="52">
        <f t="shared" si="12"/>
        <v>243.24584467569755</v>
      </c>
      <c r="G77" s="52">
        <f t="shared" si="12"/>
        <v>266.1639012225904</v>
      </c>
      <c r="H77" s="52">
        <f t="shared" si="12"/>
        <v>306.46517646171185</v>
      </c>
    </row>
    <row r="78" spans="1:8" ht="15">
      <c r="A78" s="43" t="str">
        <f>HLOOKUP(INDICE!$F$2,Nombres!$C$3:$D$636,49,FALSE)</f>
        <v>Non-controlling interests</v>
      </c>
      <c r="B78" s="44">
        <v>-44.06596770260558</v>
      </c>
      <c r="C78" s="44">
        <v>-73.78794087711009</v>
      </c>
      <c r="D78" s="44">
        <v>-52.5054023069345</v>
      </c>
      <c r="E78" s="45">
        <v>-54.9853039131286</v>
      </c>
      <c r="F78" s="44">
        <v>-74.93525384613355</v>
      </c>
      <c r="G78" s="44">
        <v>-76.41953991107252</v>
      </c>
      <c r="H78" s="44">
        <v>-95.69154598279391</v>
      </c>
    </row>
    <row r="79" spans="1:8" ht="15">
      <c r="A79" s="47" t="str">
        <f>HLOOKUP(INDICE!$F$2,Nombres!$C$3:$D$636,50,FALSE)</f>
        <v>Net attributable profit</v>
      </c>
      <c r="B79" s="47">
        <f>+B77+B78</f>
        <v>124.4916484555481</v>
      </c>
      <c r="C79" s="47">
        <f aca="true" t="shared" si="13" ref="C79:H79">+C77+C78</f>
        <v>159.24575599675103</v>
      </c>
      <c r="D79" s="47">
        <f t="shared" si="13"/>
        <v>130.37511132918405</v>
      </c>
      <c r="E79" s="47">
        <f t="shared" si="13"/>
        <v>101.59089508316976</v>
      </c>
      <c r="F79" s="53">
        <f t="shared" si="13"/>
        <v>168.310590829564</v>
      </c>
      <c r="G79" s="53">
        <f t="shared" si="13"/>
        <v>189.7443613115179</v>
      </c>
      <c r="H79" s="53">
        <f t="shared" si="13"/>
        <v>210.77363047891794</v>
      </c>
    </row>
    <row r="80" spans="1:8" ht="15">
      <c r="A80" s="65"/>
      <c r="B80" s="66">
        <v>0</v>
      </c>
      <c r="C80" s="66">
        <v>0</v>
      </c>
      <c r="D80" s="66">
        <v>0</v>
      </c>
      <c r="E80" s="66">
        <v>1.4210854715202004E-13</v>
      </c>
      <c r="F80" s="66">
        <v>0</v>
      </c>
      <c r="G80" s="66">
        <v>0</v>
      </c>
      <c r="H80" s="66">
        <v>-3.126388037344441E-13</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6992.811068981039</v>
      </c>
      <c r="C85" s="44">
        <v>6572.793549656537</v>
      </c>
      <c r="D85" s="44">
        <v>6643.083720436811</v>
      </c>
      <c r="E85" s="45">
        <v>8320.240727066011</v>
      </c>
      <c r="F85" s="44">
        <v>8282.998758794063</v>
      </c>
      <c r="G85" s="44">
        <v>7249.747218011439</v>
      </c>
      <c r="H85" s="44">
        <v>7162.622</v>
      </c>
    </row>
    <row r="86" spans="1:8" ht="15">
      <c r="A86" s="43" t="str">
        <f>HLOOKUP(INDICE!$F$2,Nombres!$C$3:$D$636,53,FALSE)</f>
        <v>Financial assets designated at fair value </v>
      </c>
      <c r="B86" s="60">
        <v>9341.889449914986</v>
      </c>
      <c r="C86" s="60">
        <v>9331.784969340959</v>
      </c>
      <c r="D86" s="60">
        <v>6218.388389756225</v>
      </c>
      <c r="E86" s="68">
        <v>5430.435313292628</v>
      </c>
      <c r="F86" s="44">
        <v>6505.588288348898</v>
      </c>
      <c r="G86" s="44">
        <v>6928.47441249609</v>
      </c>
      <c r="H86" s="44">
        <v>7100.55</v>
      </c>
    </row>
    <row r="87" spans="1:8" ht="15">
      <c r="A87" s="43" t="str">
        <f>HLOOKUP(INDICE!$F$2,Nombres!$C$3:$D$636,54,FALSE)</f>
        <v>Financial assets at amortized cost</v>
      </c>
      <c r="B87" s="44">
        <v>47112.751688461234</v>
      </c>
      <c r="C87" s="44">
        <v>47247.35567617914</v>
      </c>
      <c r="D87" s="44">
        <v>34568.81696387472</v>
      </c>
      <c r="E87" s="45">
        <v>35619.72369418225</v>
      </c>
      <c r="F87" s="44">
        <v>36445.670398171984</v>
      </c>
      <c r="G87" s="44">
        <v>36873.86510199273</v>
      </c>
      <c r="H87" s="44">
        <v>38230.965000000004</v>
      </c>
    </row>
    <row r="88" spans="1:8" ht="15">
      <c r="A88" s="43" t="str">
        <f>HLOOKUP(INDICE!$F$2,Nombres!$C$3:$D$636,55,FALSE)</f>
        <v>    of which loans and advances to customers</v>
      </c>
      <c r="B88" s="44">
        <v>43805.672036820724</v>
      </c>
      <c r="C88" s="44">
        <v>44922.126996056766</v>
      </c>
      <c r="D88" s="44">
        <v>33003.87805521848</v>
      </c>
      <c r="E88" s="45">
        <v>33526.21744989438</v>
      </c>
      <c r="F88" s="44">
        <v>34260.255367923855</v>
      </c>
      <c r="G88" s="44">
        <v>34653.8338077309</v>
      </c>
      <c r="H88" s="44">
        <v>35874.947</v>
      </c>
    </row>
    <row r="89" spans="1:8" ht="15">
      <c r="A89" s="43" t="str">
        <f>HLOOKUP(INDICE!$F$2,Nombres!$C$3:$D$636,56,FALSE)</f>
        <v>Tangible assets</v>
      </c>
      <c r="B89" s="44">
        <v>860.6217434236179</v>
      </c>
      <c r="C89" s="44">
        <v>785.9931278203724</v>
      </c>
      <c r="D89" s="44">
        <v>681.8646084019423</v>
      </c>
      <c r="E89" s="45">
        <v>780.8892446666677</v>
      </c>
      <c r="F89" s="44">
        <v>934.3321644003327</v>
      </c>
      <c r="G89" s="44">
        <v>965.1095023535332</v>
      </c>
      <c r="H89" s="44">
        <v>961.4799999999999</v>
      </c>
    </row>
    <row r="90" spans="1:8" ht="15">
      <c r="A90" s="43" t="str">
        <f>HLOOKUP(INDICE!$F$2,Nombres!$C$3:$D$636,57,FALSE)</f>
        <v>Other assets</v>
      </c>
      <c r="B90" s="60">
        <f>+B91-B89-B87-B86-B85</f>
        <v>3008.1668533893817</v>
      </c>
      <c r="C90" s="60">
        <f aca="true" t="shared" si="15" ref="C90:H90">+C91-C89-C87-C86-C85</f>
        <v>2873.3890654603056</v>
      </c>
      <c r="D90" s="60">
        <f t="shared" si="15"/>
        <v>1953.7684553989802</v>
      </c>
      <c r="E90" s="68">
        <f t="shared" si="15"/>
        <v>2252.725958521287</v>
      </c>
      <c r="F90" s="44">
        <f t="shared" si="15"/>
        <v>2291.6796720460243</v>
      </c>
      <c r="G90" s="44">
        <f t="shared" si="15"/>
        <v>2319.8256995032925</v>
      </c>
      <c r="H90" s="44">
        <f t="shared" si="15"/>
        <v>2517.655699839989</v>
      </c>
    </row>
    <row r="91" spans="1:8" ht="15">
      <c r="A91" s="47" t="str">
        <f>HLOOKUP(INDICE!$F$2,Nombres!$C$3:$D$636,58,FALSE)</f>
        <v>Total assets / Liabilities and equity</v>
      </c>
      <c r="B91" s="47">
        <v>67316.24080417026</v>
      </c>
      <c r="C91" s="47">
        <v>66811.31638845732</v>
      </c>
      <c r="D91" s="47">
        <v>50065.92213786868</v>
      </c>
      <c r="E91" s="47">
        <v>52404.01493772884</v>
      </c>
      <c r="F91" s="53">
        <v>54460.2692817613</v>
      </c>
      <c r="G91" s="53">
        <v>54337.02193435708</v>
      </c>
      <c r="H91" s="53">
        <v>55973.272699839996</v>
      </c>
    </row>
    <row r="92" spans="1:8" ht="15">
      <c r="A92" s="43" t="str">
        <f>HLOOKUP(INDICE!$F$2,Nombres!$C$3:$D$636,59,FALSE)</f>
        <v>Financial liabilities held for trading and designated at fair value through profit or loss</v>
      </c>
      <c r="B92" s="60">
        <v>2412.6199580574926</v>
      </c>
      <c r="C92" s="60">
        <v>2498.507728843397</v>
      </c>
      <c r="D92" s="60">
        <v>508.4916416436744</v>
      </c>
      <c r="E92" s="68">
        <v>1341.8562851847992</v>
      </c>
      <c r="F92" s="44">
        <v>2205.8950084539397</v>
      </c>
      <c r="G92" s="44">
        <v>1857.0763232622717</v>
      </c>
      <c r="H92" s="44">
        <v>1641.4089999999999</v>
      </c>
    </row>
    <row r="93" spans="1:8" ht="15">
      <c r="A93" s="43" t="str">
        <f>HLOOKUP(INDICE!$F$2,Nombres!$C$3:$D$636,60,FALSE)</f>
        <v>Deposits from central banks and credit institutions</v>
      </c>
      <c r="B93" s="60">
        <v>5244.275931421348</v>
      </c>
      <c r="C93" s="60">
        <v>4905.7856715751805</v>
      </c>
      <c r="D93" s="60">
        <v>2957.9157087990056</v>
      </c>
      <c r="E93" s="68">
        <v>3108.2150588805894</v>
      </c>
      <c r="F93" s="44">
        <v>3111.7086315205006</v>
      </c>
      <c r="G93" s="44">
        <v>3222.2978011674695</v>
      </c>
      <c r="H93" s="44">
        <v>3682.479</v>
      </c>
    </row>
    <row r="94" spans="1:8" ht="15">
      <c r="A94" s="43" t="str">
        <f>HLOOKUP(INDICE!$F$2,Nombres!$C$3:$D$636,61,FALSE)</f>
        <v>Deposits from customers</v>
      </c>
      <c r="B94" s="60">
        <v>40312.70004182041</v>
      </c>
      <c r="C94" s="60">
        <v>41276.812488399184</v>
      </c>
      <c r="D94" s="60">
        <v>34107.442225787025</v>
      </c>
      <c r="E94" s="68">
        <v>34240.91490690631</v>
      </c>
      <c r="F94" s="44">
        <v>35435.75751624915</v>
      </c>
      <c r="G94" s="44">
        <v>35420.429068275094</v>
      </c>
      <c r="H94" s="44">
        <v>36159.263000000006</v>
      </c>
    </row>
    <row r="95" spans="1:8" ht="15">
      <c r="A95" s="43" t="str">
        <f>HLOOKUP(INDICE!$F$2,Nombres!$C$3:$D$636,62,FALSE)</f>
        <v>Debt certificates</v>
      </c>
      <c r="B95" s="44">
        <v>7173.794811144466</v>
      </c>
      <c r="C95" s="44">
        <v>6571.860896493251</v>
      </c>
      <c r="D95" s="44">
        <v>3038.9028356660783</v>
      </c>
      <c r="E95" s="45">
        <v>3261.5276750663515</v>
      </c>
      <c r="F95" s="44">
        <v>3322.9328335180094</v>
      </c>
      <c r="G95" s="44">
        <v>3162.3400310268994</v>
      </c>
      <c r="H95" s="44">
        <v>3306.9010000000003</v>
      </c>
    </row>
    <row r="96" spans="1:8" ht="15">
      <c r="A96" s="43" t="str">
        <f>HLOOKUP(INDICE!$F$2,Nombres!$C$3:$D$636,63,FALSE)</f>
        <v>Other liabilities</v>
      </c>
      <c r="B96" s="60">
        <f>+B91-B92-B93-B94-B95-B97</f>
        <v>9661.619891217562</v>
      </c>
      <c r="C96" s="60">
        <f aca="true" t="shared" si="16" ref="C96:H96">+C91-C92-C93-C94-C95-C97</f>
        <v>8648.568656120146</v>
      </c>
      <c r="D96" s="60">
        <f t="shared" si="16"/>
        <v>7269.041265928336</v>
      </c>
      <c r="E96" s="68">
        <f t="shared" si="16"/>
        <v>8211.149756279534</v>
      </c>
      <c r="F96" s="44">
        <f t="shared" si="16"/>
        <v>8098.426267512411</v>
      </c>
      <c r="G96" s="44">
        <f t="shared" si="16"/>
        <v>8354.77388504706</v>
      </c>
      <c r="H96" s="44">
        <f t="shared" si="16"/>
        <v>8807.81862014999</v>
      </c>
    </row>
    <row r="97" spans="1:8" ht="15">
      <c r="A97" s="43" t="str">
        <f>HLOOKUP(INDICE!$F$2,Nombres!$C$3:$D$636,64,FALSE)</f>
        <v>Economic capital allocated</v>
      </c>
      <c r="B97" s="44">
        <v>2511.230170508981</v>
      </c>
      <c r="C97" s="44">
        <v>2909.780947026154</v>
      </c>
      <c r="D97" s="44">
        <v>2184.128460044561</v>
      </c>
      <c r="E97" s="45">
        <v>2240.3512554112563</v>
      </c>
      <c r="F97" s="44">
        <v>2285.5490245072897</v>
      </c>
      <c r="G97" s="44">
        <v>2320.1048255782853</v>
      </c>
      <c r="H97" s="44">
        <v>2375.40207969</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45272.147693925195</v>
      </c>
      <c r="C103" s="44">
        <v>46120.79637154995</v>
      </c>
      <c r="D103" s="44">
        <v>34490.74811502553</v>
      </c>
      <c r="E103" s="45">
        <v>35053.795563971384</v>
      </c>
      <c r="F103" s="44">
        <v>35764.67646332644</v>
      </c>
      <c r="G103" s="44">
        <v>36124.494435630324</v>
      </c>
      <c r="H103" s="44">
        <v>37401.43582346001</v>
      </c>
    </row>
    <row r="104" spans="1:8" ht="15">
      <c r="A104" s="43" t="str">
        <f>HLOOKUP(INDICE!$F$2,Nombres!$C$3:$D$636,67,FALSE)</f>
        <v>Customer deposits under management (*)</v>
      </c>
      <c r="B104" s="44">
        <v>40283.979061143524</v>
      </c>
      <c r="C104" s="44">
        <v>41024.33527522607</v>
      </c>
      <c r="D104" s="44">
        <v>34133.35494287735</v>
      </c>
      <c r="E104" s="45">
        <v>34379.34266129182</v>
      </c>
      <c r="F104" s="44">
        <v>35534.335897625315</v>
      </c>
      <c r="G104" s="44">
        <v>35434.4555840521</v>
      </c>
      <c r="H104" s="44">
        <v>36163.63943142</v>
      </c>
    </row>
    <row r="105" spans="1:8" ht="15">
      <c r="A105" s="43" t="str">
        <f>HLOOKUP(INDICE!$F$2,Nombres!$C$3:$D$636,68,FALSE)</f>
        <v>Mutual funds</v>
      </c>
      <c r="B105" s="44">
        <v>5010.10941789781</v>
      </c>
      <c r="C105" s="44">
        <v>4873.583221375826</v>
      </c>
      <c r="D105" s="44">
        <v>3622.916070358135</v>
      </c>
      <c r="E105" s="45">
        <v>3574.7532019583014</v>
      </c>
      <c r="F105" s="44">
        <v>3928.9842680668817</v>
      </c>
      <c r="G105" s="44">
        <v>3914.2402751116274</v>
      </c>
      <c r="H105" s="44">
        <v>3938.4021081</v>
      </c>
    </row>
    <row r="106" spans="1:8" ht="15">
      <c r="A106" s="43" t="str">
        <f>HLOOKUP(INDICE!$F$2,Nombres!$C$3:$D$636,69,FALSE)</f>
        <v>Pension funds</v>
      </c>
      <c r="B106" s="44">
        <v>7779.40949530439</v>
      </c>
      <c r="C106" s="44">
        <v>7930.927882611281</v>
      </c>
      <c r="D106" s="44">
        <v>8139.859768752286</v>
      </c>
      <c r="E106" s="45">
        <v>8329.204449750214</v>
      </c>
      <c r="F106" s="44">
        <v>8543.77648047031</v>
      </c>
      <c r="G106" s="44">
        <v>8791.31988331157</v>
      </c>
      <c r="H106" s="44">
        <v>9047.52912357</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6" spans="6:8" ht="15">
      <c r="F116" s="86"/>
      <c r="G116" s="86"/>
      <c r="H116" s="86"/>
    </row>
    <row r="117" spans="6:8" ht="15">
      <c r="F117" s="86"/>
      <c r="G117" s="86"/>
      <c r="H117" s="86"/>
    </row>
    <row r="118" spans="6:8" ht="15">
      <c r="F118" s="86"/>
      <c r="G118" s="86"/>
      <c r="H118" s="86"/>
    </row>
    <row r="119" spans="6:8" ht="15">
      <c r="F119" s="86"/>
      <c r="G119" s="86"/>
      <c r="H119" s="86"/>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000" ht="15">
      <c r="A1000" s="31" t="s">
        <v>406</v>
      </c>
    </row>
  </sheetData>
  <sheetProtection/>
  <mergeCells count="4">
    <mergeCell ref="B6:E6"/>
    <mergeCell ref="B60:E60"/>
    <mergeCell ref="F6:H6"/>
    <mergeCell ref="F60:H60"/>
  </mergeCells>
  <conditionalFormatting sqref="B26:H26">
    <cfRule type="cellIs" priority="2" dxfId="92" operator="notBetween">
      <formula>0.5</formula>
      <formula>-0.5</formula>
    </cfRule>
  </conditionalFormatting>
  <conditionalFormatting sqref="B80:H80">
    <cfRule type="cellIs" priority="1" dxfId="92"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GIDRON SANCHEZ, MIRIAM</cp:lastModifiedBy>
  <dcterms:created xsi:type="dcterms:W3CDTF">2019-04-26T12:12:53Z</dcterms:created>
  <dcterms:modified xsi:type="dcterms:W3CDTF">2019-10-31T07:18:17Z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